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8.xml" ContentType="application/vnd.openxmlformats-officedocument.drawing+xml"/>
  <Override PartName="/xl/tables/table22.xml" ContentType="application/vnd.openxmlformats-officedocument.spreadsheetml.table+xml"/>
  <Override PartName="/xl/drawings/drawing9.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12.xml" ContentType="application/vnd.openxmlformats-officedocument.drawing+xml"/>
  <Override PartName="/xl/tables/table37.xml" ContentType="application/vnd.openxmlformats-officedocument.spreadsheetml.table+xml"/>
  <Override PartName="/xl/drawings/drawing13.xml" ContentType="application/vnd.openxmlformats-officedocument.drawing+xml"/>
  <Override PartName="/xl/tables/table38.xml" ContentType="application/vnd.openxmlformats-officedocument.spreadsheetml.table+xml"/>
  <Override PartName="/xl/drawings/drawing14.xml" ContentType="application/vnd.openxmlformats-officedocument.drawing+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15.xml" ContentType="application/vnd.openxmlformats-officedocument.drawing+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drawings/drawing16.xml" ContentType="application/vnd.openxmlformats-officedocument.drawing+xml"/>
  <Override PartName="/xl/tables/table4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calibremining-my.sharepoint.com/personal/lhabed_calibremining_com/Documents/04. REPORTS/GRI/GRI_2021/Triple Consulting_Design/Final/"/>
    </mc:Choice>
  </mc:AlternateContent>
  <xr:revisionPtr revIDLastSave="7" documentId="8_{B2A6647C-038F-492A-8AE0-C88539A6CB7A}" xr6:coauthVersionLast="47" xr6:coauthVersionMax="47" xr10:uidLastSave="{C93F6137-B3B4-42BE-8B0E-03D800560A3B}"/>
  <bookViews>
    <workbookView xWindow="-120" yWindow="-120" windowWidth="20730" windowHeight="11160" tabRatio="940" xr2:uid="{C06AC36A-B3DE-4EFA-84E7-7F63EAAC3A2A}"/>
  </bookViews>
  <sheets>
    <sheet name="Wiki" sheetId="1" r:id="rId1"/>
    <sheet name="Overview" sheetId="16" r:id="rId2"/>
    <sheet name="ASM" sheetId="3" r:id="rId3"/>
    <sheet name="Biodiversity" sheetId="4" r:id="rId4"/>
    <sheet name="Climate Change" sheetId="5" r:id="rId5"/>
    <sheet name="Communities &amp; IPs" sheetId="11" r:id="rId6"/>
    <sheet name="CorpGov &amp; Business Ethics" sheetId="6" r:id="rId7"/>
    <sheet name="Environmental Mgmt" sheetId="7" r:id="rId8"/>
    <sheet name="Health &amp; Safety" sheetId="2" r:id="rId9"/>
    <sheet name="Labour Rights" sheetId="8" r:id="rId10"/>
    <sheet name="Resettlement" sheetId="9" r:id="rId11"/>
    <sheet name="Resp. Procurement" sheetId="10" r:id="rId12"/>
    <sheet name="Security Practices" sheetId="12" r:id="rId13"/>
    <sheet name="Socio-econ. Contributions" sheetId="13" r:id="rId14"/>
    <sheet name="Waste &amp; Materials" sheetId="14" r:id="rId15"/>
    <sheet name="Water &amp; Effluents" sheetId="15" r:id="rId16"/>
  </sheets>
  <definedNames>
    <definedName name="_1._2021_Sustainability_scorecard">Overview!$A$1</definedName>
    <definedName name="_10._Communications_and_training_on_anti_corruption_policies_and_procedures">'CorpGov &amp; Business Ethics'!$A$35</definedName>
    <definedName name="_11._Confirmed_incidents_of_corruption_and_actions_taken">'CorpGov &amp; Business Ethics'!$A$47</definedName>
    <definedName name="_12._New_suppliers_that_were_screened_using_environmental___social_criteria">'Resp. Procurement'!$A$1</definedName>
    <definedName name="_13._Security_personnel_trained_in_human_rights_policies_or_procedures">'Security Practices'!$A$1</definedName>
    <definedName name="_14._Description_of_environmental_management_policies_and_practices__EMPs__for_active_sites">'Environmental Mgmt'!$A$1</definedName>
    <definedName name="_15._Potential_risks_to_water_sources">'Water &amp; Effluents'!$A$1</definedName>
    <definedName name="_16._Water_withdrawal_by_source__ML">'Water &amp; Effluents'!$A$10</definedName>
    <definedName name="_17._Water_discharge__ML">'Water &amp; Effluents'!$A$38</definedName>
    <definedName name="_18._Water_consumption__ML">'Water &amp; Effluents'!$A$61</definedName>
    <definedName name="_19._Cyanide_Intensity">'Waste &amp; Materials'!$A$1</definedName>
    <definedName name="_2._Entities_included_in_the_organization_s_sustainability_reporting">Overview!$A$28</definedName>
    <definedName name="_20._Total_amounts_of_overburden__rock__tailings__and_sludges_and_their_associated_risks">'Waste &amp; Materials'!$A$9</definedName>
    <definedName name="_21._Waste_generated">'Waste &amp; Materials'!$A$28</definedName>
    <definedName name="_22._Waste_diverted_from_disposal">'Waste &amp; Materials'!$A$38</definedName>
    <definedName name="_23._Waste_directed_to_disposal">'Waste &amp; Materials'!$A$54</definedName>
    <definedName name="_24._Total_weight_of_non_mineral_waste_generated__in_metric_tons__T">'Waste &amp; Materials'!$A$72</definedName>
    <definedName name="_25._Tailings_storage_facility_inventory_table">'Waste &amp; Materials'!$A$80</definedName>
    <definedName name="_26._Number_of_tailings_impoundments__broken_down_by_MSHA_hazard_potential">'Waste &amp; Materials'!$A$88</definedName>
    <definedName name="_27._Significant_impacts_of_activities__products_and_services_on_biodiversity">Biodiversity!$A$1</definedName>
    <definedName name="_28._Habitats_protected_or_restored">Biodiversity!$A$11</definedName>
    <definedName name="_29._Amount_of_land_owned_or_leased__and_managed_for_production_activities_or_extractive_use__disturbed_or_rehabilitated">Biodiversity!$A$19</definedName>
    <definedName name="_3._2021_Data">Overview!$A$49</definedName>
    <definedName name="_30._Number_and_percentage_of_total_sites_identified_as_requiring_biodiversity_management_plans_according_to_stated_criteria__and_number__and_percentage__of_those_sites_with_plans_in_place">Biodiversity!$A$30</definedName>
    <definedName name="_31._Number_and_percentage_of_operations_with_closure_plans">Biodiversity!$A$39</definedName>
    <definedName name="_32._Energy_consumption_within_the_organization">'Climate Change'!$A$1</definedName>
    <definedName name="_33._Energy_intensity">'Climate Change'!$A$28</definedName>
    <definedName name="_34._GHG_emissions_intensity__Scopes_1_2____metric_tons_Coe_per_tonne_of_ore_processed">'Climate Change'!$A$36</definedName>
    <definedName name="_35._Employees">'Labour Rights'!$A$1</definedName>
    <definedName name="_36._Workers_who_are_not_employees__Contractors_workforce">'Labour Rights'!$A$37</definedName>
    <definedName name="_37._New_employee_hires_and_employee_turnover">'Labour Rights'!$A$45</definedName>
    <definedName name="_38._Average_hours_of_training_per_year_per_employee_by_gender">'Labour Rights'!$A$104</definedName>
    <definedName name="_39._Percentage_of_employees_per_employee_category_in_diversity_categories">'Labour Rights'!$A$113</definedName>
    <definedName name="_4._Memberships_and_associations">Overview!$A$63</definedName>
    <definedName name="_40._Ratio_of_basic_salary_and_remuneration_of_women_to_men">'Labour Rights'!$A$134</definedName>
    <definedName name="_41._Collective_bargaining_agreements">'Labour Rights'!$A$146</definedName>
    <definedName name="_42._Worker_training_on_occupational_health_and_safety">'Health &amp; Safety'!$A$1</definedName>
    <definedName name="_43._Workers_covered_by_an_occupational_health_and_safety_management_system">'Health &amp; Safety'!$A$10</definedName>
    <definedName name="_44._Employee_data_on_work_related_injuries">'Health &amp; Safety'!$A$26</definedName>
    <definedName name="_45._Contractor_data_on_work_related_injuries">'Health &amp; Safety'!$A$40</definedName>
    <definedName name="_46._Recordable_work_related_injury_by_type_of_incident">'Health &amp; Safety'!$A$53</definedName>
    <definedName name="_47._Other_relevant_data">'Health &amp; Safety'!$A$64</definedName>
    <definedName name="_48._Employee_data_on_work_related_ill_health">'Health &amp; Safety'!$A$76</definedName>
    <definedName name="_49._Contractor_data_on_work_related_ill_health">'Health &amp; Safety'!$A$88</definedName>
    <definedName name="_5._Approach_to_stakeholder_engagement">Overview!$A$80</definedName>
    <definedName name="_50._Death_rate_due_to_road_traffic_injuries">'Health &amp; Safety'!$A$100</definedName>
    <definedName name="_51._Public_consultations_held">'Communities &amp; IPs'!$A$1</definedName>
    <definedName name="_52._Operations_with_local_community_engagement__impact_assessments__and_development_programs">'Communities &amp; IPs'!$A$9</definedName>
    <definedName name="_53._Operations_with_significant_actual_and_potential_negative_impacts_on_local_communities">'Communities &amp; IPs'!$A$19</definedName>
    <definedName name="_54._Total_number_of_operations_taking_place_in_or_adjacent_to_Indigenous_Peoples__territories__and_number_and_percentage_of_operations_or_sites_where_there_are_formal_agreements_with_Indigenous_Peoples__communities">'Communities &amp; IPs'!$A$27</definedName>
    <definedName name="_55._Number_and_description_of_significant_disputes_1__relating_to_land_use__customary_rights_of_local_communities_and_Indigenous_Peoples">'Communities &amp; IPs'!$A$39</definedName>
    <definedName name="_56._Extent_to_which_grievance_mechanisms_were_used_to_resolve_disputes_relating_to_land_use__customary_rights_of_local_communities_and_Indigenous_Peoples__and_the_outcomes">'Communities &amp; IPs'!$A$48</definedName>
    <definedName name="_57._Proportion_of_population_who_have_experienced_a_dispute_in_the_past_two_years_and_who_accessed_a_formal_or_informal_dispute_resolution_mechanism__by_type_of_mechanism">'Communities &amp; IPs'!$A$56</definedName>
    <definedName name="_58._Sites_where_resettlement_took_place__the_number_of_household_resettled_in_each__and_how_their_livelihoods_were_affected_in_the_process">Resettlement!$A$1</definedName>
    <definedName name="_59._Proportion_of_population_living_in_households_with_access_to_basic_services">Resettlement!$A$15</definedName>
    <definedName name="_6._List_of_material_topics">Overview!$A$97</definedName>
    <definedName name="_60._Proportion_of_total_adult_population_with_secure_tenure_rights_to_land__with_legally_recognized_documentation_and_who_perceive_their_rights_to_land_as_secure__by_sex_and_by_type_of_tenure">Resettlement!$A$26</definedName>
    <definedName name="_61._Proportion_of_urban_population_living_in_slums__informal_settlements_or_inadequate_housing">Resettlement!$A$37</definedName>
    <definedName name="_62._Proportion_of_urban_population_using_safely_managed_drinking_water_services">Resettlement!$A$48</definedName>
    <definedName name="_63._Proportion_of_population_using_safely_managed_sanitation_services">Resettlement!$A$59</definedName>
    <definedName name="_64._Proportion_of_population_who_believe_decision_making_is_inclusive_and_responsive">Resettlement!$A$70</definedName>
    <definedName name="_65._Number__and_percentage__of_company_operating_sites_where_ASM_takes_place_on__or_adjacent_to__the_site__the_associated_risks_and_the_actions_taken_to_manage_and_mitigate_these_risks">ASM!$A$1</definedName>
    <definedName name="_66._Proportion_of_bodies_of_water_with_good_ambient_water_quality">ASM!$A$11</definedName>
    <definedName name="_67._Direct_economic_value_generated_and_distributed___Million_USD">'Socio-econ. Contributions'!$A$1</definedName>
    <definedName name="_68._Ratios_of_standard_entry_level_wage_by_gender_compared_to_local_minimum_wage">'Socio-econ. Contributions'!$A$11</definedName>
    <definedName name="_69._Infrastructure_investments_and_services_supported">'Socio-econ. Contributions'!$A$28</definedName>
    <definedName name="_7._Governance_structure_and_composition__diversity_of_governance_bodies">'CorpGov &amp; Business Ethics'!$A$1</definedName>
    <definedName name="_71._Proportion_of_spending_on_local_suppliers">'Socio-econ. Contributions'!$A$56</definedName>
    <definedName name="_8._Mechanisms_for_seeking_advise_and_raising_concerns">'CorpGov &amp; Business Ethics'!$A$17</definedName>
    <definedName name="_9._Operations_assessed_for_risk_related_to_corruption">'CorpGov &amp; Business Ethics'!$A$27</definedName>
    <definedName name="Table_70._Significant_indirect_economic_impacts">'Socio-econ. Contributions'!$A$45</definedName>
    <definedName name="Table_71._Proportion_of_spending_on_local_suppliers">'Socio-econ. Contributions'!$A$56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8" i="8" l="1"/>
  <c r="F91" i="8"/>
  <c r="E92" i="8"/>
  <c r="E93" i="8"/>
  <c r="E91" i="8"/>
  <c r="C92" i="8"/>
  <c r="F92" i="8" s="1"/>
  <c r="C93" i="8"/>
  <c r="F93" i="8" s="1"/>
  <c r="C91" i="8"/>
  <c r="C7" i="14" l="1"/>
  <c r="D109" i="8"/>
  <c r="C110" i="8"/>
  <c r="B110" i="8"/>
  <c r="D110" i="8" l="1"/>
  <c r="C17" i="2"/>
  <c r="C19" i="2" s="1"/>
  <c r="D17" i="2"/>
  <c r="D19" i="2" s="1"/>
  <c r="E17" i="2"/>
  <c r="E19" i="2" s="1"/>
  <c r="F17" i="2"/>
  <c r="G17" i="2"/>
  <c r="G19" i="2" s="1"/>
  <c r="B17" i="2"/>
  <c r="B20" i="2" s="1"/>
  <c r="B22" i="2" s="1"/>
  <c r="G15" i="2"/>
  <c r="G14" i="2" s="1"/>
  <c r="G16" i="2" s="1"/>
  <c r="F14" i="2"/>
  <c r="F16" i="2" s="1"/>
  <c r="C14" i="2"/>
  <c r="C16" i="2" s="1"/>
  <c r="D14" i="2"/>
  <c r="D16" i="2" s="1"/>
  <c r="E14" i="2"/>
  <c r="E20" i="2" s="1"/>
  <c r="E22" i="2" s="1"/>
  <c r="B14" i="2"/>
  <c r="B16" i="2" s="1"/>
  <c r="E20" i="3"/>
  <c r="F20" i="2" l="1"/>
  <c r="F22" i="2" s="1"/>
  <c r="D20" i="2"/>
  <c r="D22" i="2" s="1"/>
  <c r="B19" i="2"/>
  <c r="C20" i="2"/>
  <c r="C22" i="2" s="1"/>
  <c r="E16" i="2"/>
  <c r="G20" i="2"/>
  <c r="G22" i="2" s="1"/>
  <c r="D48" i="14" l="1"/>
  <c r="D49" i="14"/>
  <c r="D47" i="14"/>
  <c r="D46" i="14" s="1"/>
  <c r="D62" i="14"/>
  <c r="C33" i="14" l="1"/>
  <c r="B7" i="14"/>
  <c r="H29" i="15"/>
  <c r="H20" i="15"/>
  <c r="C34" i="15"/>
  <c r="B34" i="15"/>
  <c r="H44" i="15"/>
  <c r="G50" i="15"/>
  <c r="G53" i="15" s="1"/>
  <c r="G58" i="15" s="1"/>
  <c r="F50" i="15"/>
  <c r="D44" i="14" l="1"/>
  <c r="D42" i="14" s="1"/>
  <c r="D50" i="14" s="1"/>
  <c r="C32" i="14" l="1"/>
  <c r="D66" i="15"/>
  <c r="B27" i="8" l="1"/>
  <c r="C27" i="8"/>
  <c r="D27" i="8"/>
  <c r="E27" i="8"/>
  <c r="A27" i="8"/>
  <c r="B11" i="8"/>
  <c r="C11" i="8"/>
  <c r="E11" i="8"/>
  <c r="G11" i="8"/>
  <c r="A11" i="8"/>
  <c r="C78" i="9" l="1"/>
  <c r="C43" i="6" l="1"/>
  <c r="E24" i="4"/>
  <c r="E23" i="4"/>
  <c r="D23" i="4"/>
  <c r="C24" i="4"/>
  <c r="C23" i="4"/>
  <c r="B24" i="4"/>
  <c r="B23" i="4"/>
  <c r="B21" i="13"/>
  <c r="B20" i="13"/>
  <c r="D20" i="3" l="1"/>
  <c r="G20" i="3"/>
  <c r="B20" i="3"/>
  <c r="B73" i="2"/>
  <c r="C49" i="2"/>
  <c r="D49" i="2"/>
  <c r="E49" i="2"/>
  <c r="F49" i="2"/>
  <c r="G49" i="2"/>
  <c r="B49" i="2"/>
  <c r="I49" i="2"/>
  <c r="C37" i="2"/>
  <c r="D37" i="2"/>
  <c r="E37" i="2"/>
  <c r="F37" i="2"/>
  <c r="G37" i="2"/>
  <c r="B37" i="2"/>
  <c r="I37" i="2"/>
  <c r="E68" i="8"/>
  <c r="E69" i="8"/>
  <c r="E67" i="8"/>
  <c r="E64" i="8"/>
  <c r="E63" i="8"/>
  <c r="E59" i="8"/>
  <c r="E60" i="8"/>
  <c r="E58" i="8"/>
  <c r="E52" i="8"/>
  <c r="E53" i="8"/>
  <c r="E54" i="8"/>
  <c r="E55" i="8"/>
  <c r="E51" i="8"/>
  <c r="D70" i="8"/>
  <c r="E70" i="8" s="1"/>
  <c r="D65" i="8"/>
  <c r="E65" i="8" s="1"/>
  <c r="D61" i="8"/>
  <c r="E61" i="8" s="1"/>
  <c r="D56" i="8"/>
  <c r="E56" i="8" s="1"/>
  <c r="D11" i="5" l="1"/>
  <c r="D10" i="5"/>
  <c r="B7" i="5"/>
  <c r="G23" i="5"/>
  <c r="E23" i="5"/>
  <c r="C23" i="5"/>
  <c r="B23" i="5"/>
  <c r="D23" i="5" s="1"/>
  <c r="G22" i="5"/>
  <c r="E22" i="5"/>
  <c r="C22" i="5"/>
  <c r="B22" i="5"/>
  <c r="I19" i="5"/>
  <c r="D19" i="5"/>
  <c r="I18" i="5"/>
  <c r="D18" i="5"/>
  <c r="I17" i="5"/>
  <c r="D17" i="5"/>
  <c r="I16" i="5"/>
  <c r="D16" i="5"/>
  <c r="G15" i="5"/>
  <c r="E15" i="5"/>
  <c r="C15" i="5"/>
  <c r="B15" i="5"/>
  <c r="D15" i="5" s="1"/>
  <c r="D14" i="5"/>
  <c r="E14" i="5" s="1"/>
  <c r="D13" i="5"/>
  <c r="E13" i="5" s="1"/>
  <c r="I12" i="5"/>
  <c r="D12" i="5"/>
  <c r="I11" i="5"/>
  <c r="I10" i="5"/>
  <c r="I9" i="5"/>
  <c r="I8" i="5"/>
  <c r="D8" i="5"/>
  <c r="G7" i="5"/>
  <c r="C7" i="5"/>
  <c r="D17" i="4"/>
  <c r="B17" i="4"/>
  <c r="H17" i="4"/>
  <c r="C27" i="4"/>
  <c r="D27" i="4"/>
  <c r="E27" i="4"/>
  <c r="B27" i="4"/>
  <c r="C94" i="14"/>
  <c r="D94" i="14"/>
  <c r="B94" i="14"/>
  <c r="E94" i="14"/>
  <c r="D65" i="14"/>
  <c r="D66" i="14"/>
  <c r="D67" i="14"/>
  <c r="D64" i="14"/>
  <c r="D59" i="14"/>
  <c r="D60" i="14"/>
  <c r="D61" i="14"/>
  <c r="C34" i="14"/>
  <c r="D21" i="14"/>
  <c r="D22" i="14"/>
  <c r="D23" i="14"/>
  <c r="D24" i="14"/>
  <c r="D20" i="14"/>
  <c r="D15" i="14"/>
  <c r="D16" i="14"/>
  <c r="D17" i="14"/>
  <c r="D18" i="14"/>
  <c r="D14" i="14"/>
  <c r="C70" i="15"/>
  <c r="B70" i="15"/>
  <c r="D69" i="15"/>
  <c r="H68" i="15"/>
  <c r="D68" i="15"/>
  <c r="H67" i="15"/>
  <c r="D67" i="15"/>
  <c r="H58" i="15"/>
  <c r="C58" i="15"/>
  <c r="D58" i="15" s="1"/>
  <c r="H57" i="15"/>
  <c r="D57" i="15"/>
  <c r="H56" i="15"/>
  <c r="D56" i="15"/>
  <c r="H55" i="15"/>
  <c r="H53" i="15"/>
  <c r="B53" i="15"/>
  <c r="H52" i="15"/>
  <c r="D52" i="15"/>
  <c r="E50" i="15"/>
  <c r="B50" i="15"/>
  <c r="D55" i="15" s="1"/>
  <c r="H48" i="15"/>
  <c r="D48" i="15"/>
  <c r="H47" i="15"/>
  <c r="D47" i="15"/>
  <c r="H46" i="15"/>
  <c r="D46" i="15"/>
  <c r="H45" i="15"/>
  <c r="D45" i="15"/>
  <c r="C44" i="15"/>
  <c r="D20" i="15"/>
  <c r="D19" i="15"/>
  <c r="D16" i="15"/>
  <c r="H32" i="15"/>
  <c r="I32" i="15" s="1"/>
  <c r="I31" i="15"/>
  <c r="I30" i="15"/>
  <c r="D29" i="15"/>
  <c r="H27" i="15"/>
  <c r="I27" i="15" s="1"/>
  <c r="D27" i="15"/>
  <c r="H26" i="15"/>
  <c r="I26" i="15" s="1"/>
  <c r="D26" i="15"/>
  <c r="G25" i="15"/>
  <c r="F25" i="15"/>
  <c r="E25" i="15"/>
  <c r="D25" i="15"/>
  <c r="H24" i="15"/>
  <c r="I24" i="15" s="1"/>
  <c r="D24" i="15"/>
  <c r="H23" i="15"/>
  <c r="I23" i="15" s="1"/>
  <c r="D23" i="15"/>
  <c r="G22" i="15"/>
  <c r="F22" i="15"/>
  <c r="E22" i="15"/>
  <c r="D22" i="15"/>
  <c r="D21" i="15"/>
  <c r="E21" i="15" s="1"/>
  <c r="D18" i="15"/>
  <c r="E18" i="15" s="1"/>
  <c r="F17" i="15"/>
  <c r="H17" i="15" s="1"/>
  <c r="D17" i="15"/>
  <c r="C9" i="12"/>
  <c r="D7" i="12"/>
  <c r="B6" i="12"/>
  <c r="B9" i="12" s="1"/>
  <c r="D5" i="12"/>
  <c r="C53" i="15" l="1"/>
  <c r="D53" i="15" s="1"/>
  <c r="D44" i="15"/>
  <c r="D34" i="15"/>
  <c r="D58" i="14"/>
  <c r="C20" i="5"/>
  <c r="D63" i="14"/>
  <c r="B24" i="5"/>
  <c r="C24" i="5"/>
  <c r="C25" i="5" s="1"/>
  <c r="I22" i="5"/>
  <c r="I14" i="5"/>
  <c r="I13" i="5"/>
  <c r="D22" i="5"/>
  <c r="G20" i="5"/>
  <c r="I15" i="5"/>
  <c r="E7" i="5"/>
  <c r="D7" i="5"/>
  <c r="D9" i="5"/>
  <c r="D24" i="5"/>
  <c r="G24" i="5"/>
  <c r="B20" i="5"/>
  <c r="I23" i="5"/>
  <c r="E24" i="5"/>
  <c r="D70" i="15"/>
  <c r="C50" i="15"/>
  <c r="D50" i="15" s="1"/>
  <c r="H50" i="15"/>
  <c r="H25" i="15"/>
  <c r="I25" i="15" s="1"/>
  <c r="F21" i="15"/>
  <c r="E19" i="15"/>
  <c r="E16" i="15"/>
  <c r="F18" i="15"/>
  <c r="F16" i="15" s="1"/>
  <c r="H22" i="15"/>
  <c r="I22" i="15" s="1"/>
  <c r="D9" i="12"/>
  <c r="D6" i="12"/>
  <c r="E34" i="15" l="1"/>
  <c r="E66" i="15" s="1"/>
  <c r="E69" i="15" s="1"/>
  <c r="D68" i="14"/>
  <c r="D33" i="14"/>
  <c r="B33" i="14"/>
  <c r="D32" i="14"/>
  <c r="D34" i="14" s="1"/>
  <c r="B32" i="14"/>
  <c r="B34" i="14" s="1"/>
  <c r="I7" i="5"/>
  <c r="E20" i="5"/>
  <c r="B25" i="5"/>
  <c r="D20" i="5"/>
  <c r="D25" i="5" s="1"/>
  <c r="G25" i="5"/>
  <c r="H7" i="5" s="1"/>
  <c r="I24" i="5"/>
  <c r="I34" i="15"/>
  <c r="G18" i="15"/>
  <c r="G16" i="15" s="1"/>
  <c r="G21" i="15"/>
  <c r="F19" i="15"/>
  <c r="F34" i="15" s="1"/>
  <c r="F66" i="15" s="1"/>
  <c r="H16" i="15" l="1"/>
  <c r="H18" i="15"/>
  <c r="I18" i="15" s="1"/>
  <c r="F69" i="15"/>
  <c r="F70" i="15" s="1"/>
  <c r="H19" i="15"/>
  <c r="H25" i="5"/>
  <c r="H66" i="15"/>
  <c r="H24" i="5"/>
  <c r="H19" i="5"/>
  <c r="H11" i="5"/>
  <c r="H18" i="5"/>
  <c r="H10" i="5"/>
  <c r="H17" i="5"/>
  <c r="H9" i="5"/>
  <c r="H12" i="5"/>
  <c r="H16" i="5"/>
  <c r="H8" i="5"/>
  <c r="H13" i="5"/>
  <c r="H14" i="5"/>
  <c r="H15" i="5"/>
  <c r="E25" i="5"/>
  <c r="F25" i="5" s="1"/>
  <c r="I20" i="5"/>
  <c r="H20" i="5"/>
  <c r="H23" i="5"/>
  <c r="H22" i="5"/>
  <c r="G19" i="15"/>
  <c r="H21" i="15"/>
  <c r="I21" i="15" s="1"/>
  <c r="H34" i="15" l="1"/>
  <c r="G34" i="15"/>
  <c r="F23" i="5"/>
  <c r="F7" i="5"/>
  <c r="E70" i="15"/>
  <c r="H69" i="15"/>
  <c r="H70" i="15" s="1"/>
  <c r="F16" i="5"/>
  <c r="F8" i="5"/>
  <c r="F9" i="5"/>
  <c r="F10" i="5"/>
  <c r="F12" i="5"/>
  <c r="F19" i="5"/>
  <c r="F11" i="5"/>
  <c r="F18" i="5"/>
  <c r="F17" i="5"/>
  <c r="F14" i="5"/>
  <c r="F15" i="5"/>
  <c r="F13" i="5"/>
  <c r="F24" i="5"/>
  <c r="I25" i="5"/>
  <c r="J25" i="5" s="1"/>
  <c r="F20" i="5"/>
  <c r="F22" i="5"/>
  <c r="J20" i="5" l="1"/>
  <c r="J7" i="5"/>
  <c r="J19" i="5"/>
  <c r="J12" i="5"/>
  <c r="J9" i="5"/>
  <c r="J18" i="5"/>
  <c r="J16" i="5"/>
  <c r="J10" i="5"/>
  <c r="J8" i="5"/>
  <c r="J11" i="5"/>
  <c r="J17" i="5"/>
  <c r="J22" i="5"/>
  <c r="J13" i="5"/>
  <c r="J23" i="5"/>
  <c r="J15" i="5"/>
  <c r="J14" i="5"/>
  <c r="J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tc={A40D2AFB-FFEC-4DA9-AC87-5B38316F8378}</author>
  </authors>
  <commentList>
    <comment ref="A15" authorId="0" shapeId="0" xr:uid="{A40D2AFB-FFEC-4DA9-AC87-5B38316F8378}">
      <text>
        <t>[Comentario encadenado]
Su versión de Excel le permite leer este comentario encadenado; sin embargo, las ediciones que se apliquen se quitarán si el archivo se abre en una versión más reciente de Excel. Más información: https://go.microsoft.com/fwlink/?linkid=870924
Comentario:
    Suggest making table name consistent with updated table name in report: Estimated Mercury (Hg) and Untreated Wastewater Pollution from Artisanal Mills Avoided due to Calibre Ore Processing</t>
      </text>
    </comment>
  </commentList>
</comments>
</file>

<file path=xl/sharedStrings.xml><?xml version="1.0" encoding="utf-8"?>
<sst xmlns="http://schemas.openxmlformats.org/spreadsheetml/2006/main" count="1864" uniqueCount="1177">
  <si>
    <t>About this document:</t>
  </si>
  <si>
    <t>This performance data reflects the annual disclosure of our sustainability performance at wholly owned operations and joint ventures where Calibre is the operator. For our full 2021 Sustainability Report, please visit our website at https://www.calibremining.com/esg/overview/ 
Data is reported in accordance with the Global Reporting Initiative (GRI) Standards and the related GRI G4 Mining and Metals Supplement; the Value Reporting Foundation’s Sustainability Accounting Standards Board (SASB) 2021 Metals &amp; Mining Industry Standards; and the Mining Local Procurement Reporting Mechanism (LPRM), for the period January 1 to December 31, 2021. This report has not been externally assured.</t>
  </si>
  <si>
    <t>Structure of the 2021 ESG performance Data Tables</t>
  </si>
  <si>
    <t xml:space="preserve">Performance data tables have been grouped per material topics as established in our 2021 Sustainability Report. </t>
  </si>
  <si>
    <t xml:space="preserve">About the data </t>
  </si>
  <si>
    <r>
      <rPr>
        <b/>
        <sz val="9"/>
        <color rgb="FF36256E"/>
        <rFont val="Calibri"/>
        <family val="2"/>
        <scheme val="minor"/>
      </rPr>
      <t xml:space="preserve">Currencies: </t>
    </r>
    <r>
      <rPr>
        <sz val="9"/>
        <color rgb="FF36256E"/>
        <rFont val="Calibri"/>
        <family val="2"/>
        <scheme val="minor"/>
      </rPr>
      <t xml:space="preserve">all financial figures are quoted in U.S. dollars unless otherwise noted. 
</t>
    </r>
    <r>
      <rPr>
        <b/>
        <sz val="9"/>
        <color rgb="FF36256E"/>
        <rFont val="Calibri"/>
        <family val="2"/>
        <scheme val="minor"/>
      </rPr>
      <t>Rounding:</t>
    </r>
    <r>
      <rPr>
        <sz val="9"/>
        <color rgb="FF36256E"/>
        <rFont val="Calibri"/>
        <family val="2"/>
        <scheme val="minor"/>
      </rPr>
      <t xml:space="preserve"> some figures and percentages may not add up to the total figure or 100 percent due to rounding.
</t>
    </r>
    <r>
      <rPr>
        <b/>
        <sz val="9"/>
        <color rgb="FF36256E"/>
        <rFont val="Calibri"/>
        <family val="2"/>
        <scheme val="minor"/>
      </rPr>
      <t>Definition of local:</t>
    </r>
    <r>
      <rPr>
        <sz val="9"/>
        <color rgb="FF36256E"/>
        <rFont val="Calibri"/>
        <family val="2"/>
        <scheme val="minor"/>
      </rPr>
      <t xml:space="preserve"> Throughout this report, we we use the term “local” to refer to communities, suppliers, and workers. We have defined our geographic scope using concentric rings that relate to the administrative boundaries surrounding our operations. Three categories are applied. We use "local" for people from communities adjacent or near to our operations. We use "national, non-local" for Nicaraguans not from communities adjacent or near our operations. We use "national" for the sum of local plus non-local Nicaraguans.</t>
    </r>
  </si>
  <si>
    <t>Finding additional financial and non-financial information</t>
  </si>
  <si>
    <r>
      <rPr>
        <b/>
        <sz val="9"/>
        <color rgb="FF36256E"/>
        <rFont val="Calibri"/>
        <family val="2"/>
        <scheme val="minor"/>
      </rPr>
      <t xml:space="preserve">Financial and investors relations. </t>
    </r>
    <r>
      <rPr>
        <sz val="9"/>
        <color rgb="FF36256E"/>
        <rFont val="Calibri"/>
        <family val="2"/>
        <scheme val="minor"/>
      </rPr>
      <t xml:space="preserve">For additional information about Calibre's investors relations presentations, financial filings and communications, visit our website at https://www.calibremining.com/investors/investing-highlights/ 
</t>
    </r>
    <r>
      <rPr>
        <b/>
        <sz val="9"/>
        <color rgb="FF36256E"/>
        <rFont val="Calibri"/>
        <family val="2"/>
        <scheme val="minor"/>
      </rPr>
      <t xml:space="preserve">
Board, executive compensation, related details.</t>
    </r>
    <r>
      <rPr>
        <sz val="9"/>
        <color rgb="FF36256E"/>
        <rFont val="Calibri"/>
        <family val="2"/>
        <scheme val="minor"/>
      </rPr>
      <t xml:space="preserve"> More information on director and executive compensation and process for communicating with the Board is reported in our AGM Materials section of our website at https://www.calibremining.com/investors/agm-materials/
</t>
    </r>
    <r>
      <rPr>
        <b/>
        <sz val="9"/>
        <color rgb="FF36256E"/>
        <rFont val="Calibri"/>
        <family val="2"/>
        <scheme val="minor"/>
      </rPr>
      <t xml:space="preserve">Governance and ethics. </t>
    </r>
    <r>
      <rPr>
        <sz val="9"/>
        <color rgb="FF36256E"/>
        <rFont val="Calibri"/>
        <family val="2"/>
        <scheme val="minor"/>
      </rPr>
      <t xml:space="preserve">Details of our Corporate Governance Policies and Procedures Manuals, including our Code of Business Conduct and Ethics, can be found at our website at https://www.calibremining.com/site/assets/files/5558/20200807-2020-cxb-corporate_governance-manual-_final-eff-1.pdf
</t>
    </r>
    <r>
      <rPr>
        <b/>
        <sz val="9"/>
        <color rgb="FF36256E"/>
        <rFont val="Calibri"/>
        <family val="2"/>
        <scheme val="minor"/>
      </rPr>
      <t xml:space="preserve">
Sustainability reporting suite. </t>
    </r>
    <r>
      <rPr>
        <sz val="9"/>
        <color rgb="FF36256E"/>
        <rFont val="Calibri"/>
        <family val="2"/>
        <scheme val="minor"/>
      </rPr>
      <t xml:space="preserve">The 2021 ESG Data Tables are part of a larger suite of our sustainability disclosures, including our 2020 Innaugural Sustainability Report, and our Report our RGMP year-one self-assessment and external assurance results, all available in our website at https://www.calibremining.com/esg/overview/ 
</t>
    </r>
    <r>
      <rPr>
        <b/>
        <sz val="9"/>
        <color rgb="FF36256E"/>
        <rFont val="Calibri"/>
        <family val="2"/>
        <scheme val="minor"/>
      </rPr>
      <t xml:space="preserve">
News. </t>
    </r>
    <r>
      <rPr>
        <sz val="9"/>
        <color rgb="FF36256E"/>
        <rFont val="Calibri"/>
        <family val="2"/>
        <scheme val="minor"/>
      </rPr>
      <t xml:space="preserve">Press releases are posted in our News section available in our website at https://www.calibremining.com/news/
 </t>
    </r>
  </si>
  <si>
    <t>Providing feedback</t>
  </si>
  <si>
    <t>We welcome feedback on this report or any other aspect of our sustainability performance. Please send comments to calibre@calibremining.com.</t>
  </si>
  <si>
    <t>TAB / MATERIAL TOPIC</t>
  </si>
  <si>
    <t>N°</t>
  </si>
  <si>
    <t>TABLE / DISCLOSURE</t>
  </si>
  <si>
    <t>FRAMEWORK DISCLOSURE</t>
  </si>
  <si>
    <t>REPORT SECTION</t>
  </si>
  <si>
    <t>Overview</t>
  </si>
  <si>
    <t>2021 Sustainability scorecard</t>
  </si>
  <si>
    <t>N/A</t>
  </si>
  <si>
    <t>1. Overview &gt; 1.1 2021 Performance Highlights</t>
  </si>
  <si>
    <t>Entities included in the organization's sustainability reporting</t>
  </si>
  <si>
    <t>GRI 2-2</t>
  </si>
  <si>
    <t>1. Overview &gt; 1.2 About this report &gt; 1.2.1 Scope of the Report</t>
  </si>
  <si>
    <t>2021 Data</t>
  </si>
  <si>
    <t>SASB EM-MM-000.A</t>
  </si>
  <si>
    <t>1. Overview &gt; 1.4 Company Profile</t>
  </si>
  <si>
    <t>Memberships and associations</t>
  </si>
  <si>
    <t>GRI 2-28</t>
  </si>
  <si>
    <t>1. Overview &gt; 1.6 Commitments and Memberships</t>
  </si>
  <si>
    <t>Approach to stakeholder engagement</t>
  </si>
  <si>
    <t>GRI 2-29</t>
  </si>
  <si>
    <t>1. Overview &gt; 1.7 Our Approach to Stakeholder Engagement</t>
  </si>
  <si>
    <t>List of material topics</t>
  </si>
  <si>
    <t>GRI 3-2</t>
  </si>
  <si>
    <t>1. Overview &gt; 1.8 Understanding Our Impacts &gt; 1.8.2 Materiality Process and Results</t>
  </si>
  <si>
    <t>Corporate Governance and Business Ethics</t>
  </si>
  <si>
    <t>Governance structure and composition, diversity of governance bodies</t>
  </si>
  <si>
    <t>GRI 2-9, 405-1</t>
  </si>
  <si>
    <t>2. Governance &gt; 2.1 Governance and Business Ethics &gt; 2.1.2 2021 Performance</t>
  </si>
  <si>
    <t>Mechanisms for seeking advise and raising concerns</t>
  </si>
  <si>
    <t>GRI 2-26</t>
  </si>
  <si>
    <t>Operations assessed for risk related to corruption</t>
  </si>
  <si>
    <t>GRI 205-1</t>
  </si>
  <si>
    <t>Communications and training on anti-corruption policies and procedures</t>
  </si>
  <si>
    <t>GRI 205-2</t>
  </si>
  <si>
    <t>Confirmed incidents of corruption and actions taken</t>
  </si>
  <si>
    <t>GRI 205-3</t>
  </si>
  <si>
    <t>Responsible Procurement</t>
  </si>
  <si>
    <t>New suppliers that were screened using environmental and social criteria</t>
  </si>
  <si>
    <t>GRI 308-1, 414-1</t>
  </si>
  <si>
    <t>2. Governance &gt; 2.2 Responsible Procurement &gt; 2.2.2 2021 Performance</t>
  </si>
  <si>
    <t>Security Practices</t>
  </si>
  <si>
    <t>Security personnel trained in human rights policies or procedures</t>
  </si>
  <si>
    <t>GRI 410-1</t>
  </si>
  <si>
    <t>2. Governance &gt; 2.3 Security Practices &gt; 2.3.2 2021 Performance</t>
  </si>
  <si>
    <t>Environmental Management</t>
  </si>
  <si>
    <t>Description of environmental management policies and practices (EMPs) for active sites</t>
  </si>
  <si>
    <t>EM-MM-160a.1</t>
  </si>
  <si>
    <t>3. Environment &gt; 3.1 Environmental Management &gt; 3.1.2 2021 Performance</t>
  </si>
  <si>
    <t>Water and Effluents</t>
  </si>
  <si>
    <t>Potential risks to water sources</t>
  </si>
  <si>
    <t>3. Environment &gt; 3.2 Water and Effluents &gt; 3.2.2 2021 Performance</t>
  </si>
  <si>
    <t>Water withdrawal by source (ML)</t>
  </si>
  <si>
    <t>GRI 303-3</t>
  </si>
  <si>
    <t>Water discharge (ML)</t>
  </si>
  <si>
    <t>GRI 303-4</t>
  </si>
  <si>
    <t xml:space="preserve">Water consumption (ML) </t>
  </si>
  <si>
    <t>GRI 303-5</t>
  </si>
  <si>
    <t>Waste and Materials</t>
  </si>
  <si>
    <t>Cyanide intensity</t>
  </si>
  <si>
    <t>3. Environment &gt; 3.3 Waste and Materials &gt; 3.3.2 2021 Performance</t>
  </si>
  <si>
    <t>Total amount of overburden, rock, tailings, and sludges and their associated risks</t>
  </si>
  <si>
    <t>GRI MM3; &amp; SASB EM-MM-150a.1; EM-MM-150a.2; EM-MM-150a.5; EM-MM-150a.6</t>
  </si>
  <si>
    <t>Waste generated</t>
  </si>
  <si>
    <t>GRI 306-3; SASB EM-MM-150A.7; &amp; SDG 12.4.2</t>
  </si>
  <si>
    <t>Waste diverted from disposal</t>
  </si>
  <si>
    <t>GRI 306-4, SASB EM-MM-150A.8</t>
  </si>
  <si>
    <t>Waste directed to disposal</t>
  </si>
  <si>
    <t>GRI 306-5</t>
  </si>
  <si>
    <t>Total weight of non-mineral waste generated (T)</t>
  </si>
  <si>
    <t>SASB EM-MM-150A.4</t>
  </si>
  <si>
    <t>Tailings storage facility inventory table</t>
  </si>
  <si>
    <t>SASB EM-MM-150A.1</t>
  </si>
  <si>
    <t>Number of tailings impoundments, broken down by MSHA hazard potential</t>
  </si>
  <si>
    <t>SASB EM-MM-150A.3, EM-MM-540a.4</t>
  </si>
  <si>
    <t>Biodiversity</t>
  </si>
  <si>
    <t>Significant impacts of activities, products and services on biodiversity</t>
  </si>
  <si>
    <t>GRI 304-2</t>
  </si>
  <si>
    <t>3. Environment &gt; 3.4 Biodiversity &gt; 3.4.2 2021 Performance</t>
  </si>
  <si>
    <t>Habitats protected or restored</t>
  </si>
  <si>
    <t>304-3</t>
  </si>
  <si>
    <t>Amount of land owned or leased, and managed for production activities or extractive use, disturbed or rehabilitated</t>
  </si>
  <si>
    <t>GRI Mining and Metal Sector Disclosure MM1</t>
  </si>
  <si>
    <t>Number and percentage of total sites identified as requiring biodiversity management plans according to stated criteria, and number (and percentage) of those sites with plans in place</t>
  </si>
  <si>
    <t>GRI Mining and Metal Sector Disclosure MM2</t>
  </si>
  <si>
    <t>Number and percentage of operations with closure plans</t>
  </si>
  <si>
    <t>GRI Mining and Metal Sector Disclosure MM10</t>
  </si>
  <si>
    <t>Climate Change</t>
  </si>
  <si>
    <t>Energy consumption within the organization</t>
  </si>
  <si>
    <t>GRI 302-1, SASB EM-MM-130A.1</t>
  </si>
  <si>
    <t>3. Environment &gt; 3.5 Climate Change &gt; 3.5.2 2021 Performance</t>
  </si>
  <si>
    <t>Energy intensity</t>
  </si>
  <si>
    <t>GRI 302-3</t>
  </si>
  <si>
    <t>GHG emissions intensity (Scopes 1&amp;2) - metric tons Coe per tonne of ore processed</t>
  </si>
  <si>
    <t>GRI 305-1; 305-2; 305-4; &amp; SASB EM-MM-110A.1</t>
  </si>
  <si>
    <t>Labour Rights</t>
  </si>
  <si>
    <t>Employees</t>
  </si>
  <si>
    <t>GRI 2-7</t>
  </si>
  <si>
    <t>4. Social &gt; 4.1 Labour Rights &gt; 4.1.2 2021 Performance</t>
  </si>
  <si>
    <t>Workers who are not employees (contractors)</t>
  </si>
  <si>
    <t>GRI 2-8</t>
  </si>
  <si>
    <t>New employee hires and employee turnover</t>
  </si>
  <si>
    <t>GRI 401-1</t>
  </si>
  <si>
    <t>Average hours of training per year per employee by gender</t>
  </si>
  <si>
    <t>GRI 401-4</t>
  </si>
  <si>
    <t>Percentage of employees per employee category in diversity categories</t>
  </si>
  <si>
    <t>GRI 405-1</t>
  </si>
  <si>
    <t>Ratio of basic salary and remuneration of women to men</t>
  </si>
  <si>
    <t>GRI 405-2</t>
  </si>
  <si>
    <t>Collective bargaining agreements</t>
  </si>
  <si>
    <t>GRI 2-30, SASB EM-MM-310A.1</t>
  </si>
  <si>
    <t>Health and Safety</t>
  </si>
  <si>
    <t>Worker training on occupational health and safety</t>
  </si>
  <si>
    <t>GRI 403-5</t>
  </si>
  <si>
    <t>4. Social &gt; 4.2 Health and Safety &gt; 4.2.2 2021 Performance</t>
  </si>
  <si>
    <t>Workers covered by an occupational health and safety management system</t>
  </si>
  <si>
    <t>GRI 403-8</t>
  </si>
  <si>
    <t>Employee data on work-related injuries</t>
  </si>
  <si>
    <t>GRI 403-9; SDG 8.8.1</t>
  </si>
  <si>
    <t>Contractor data on work-related injuries</t>
  </si>
  <si>
    <t>Recordable work-related injuries by type of incident</t>
  </si>
  <si>
    <t>Other relevant data</t>
  </si>
  <si>
    <t>Employee data on work-related ill-health</t>
  </si>
  <si>
    <t>GRI 403-10</t>
  </si>
  <si>
    <t>Contractor data on work-related ill-health</t>
  </si>
  <si>
    <t>Death rate due to road traffic injuries</t>
  </si>
  <si>
    <t>SDG 3.6.1</t>
  </si>
  <si>
    <t>Rights of Communties and Indigenous Peoples</t>
  </si>
  <si>
    <t>Public consultations held</t>
  </si>
  <si>
    <t>4. Social &gt; 4.3 Rights of Communities and Indigenous Peoples &gt; 4.3.2 2021 Performance</t>
  </si>
  <si>
    <t>Operations with local community engagement, impact assessments, and development programs</t>
  </si>
  <si>
    <t>GRI 413-1</t>
  </si>
  <si>
    <t>Operations with significant actual and potential negative impacts on local communities</t>
  </si>
  <si>
    <t>GRI 413-2</t>
  </si>
  <si>
    <t>Total number of operations taking place in or adjacent to Indigenous Peoples' territories, and number and percentage of operations or sites where there are formal agreements with Indigenous Peoples' communities</t>
  </si>
  <si>
    <t>MM5</t>
  </si>
  <si>
    <t>Number and description of significant disputes relating to land use, customary rights of local communities and Indigenous Peoples</t>
  </si>
  <si>
    <t>MM6</t>
  </si>
  <si>
    <t>Extent to which grievance mechanisms were used to resolve disputes relating to land use, customary rights of local communities and Indigenous Peoples, and the outcomes</t>
  </si>
  <si>
    <t>MM7</t>
  </si>
  <si>
    <t>Proportion of population who have experienced a dispute in the past two years and who accessed a formal or informal dispute resolution mechanism, by type of mechanism</t>
  </si>
  <si>
    <t>SDG 16.3.3</t>
  </si>
  <si>
    <t>Land Acquisition and Resettlement</t>
  </si>
  <si>
    <t>Sites  where resettlement took place, the number of household resettled in each, and how their livelihoods were affected in the process</t>
  </si>
  <si>
    <t>MM9</t>
  </si>
  <si>
    <t>4. Social &gt; 4.4 Land Acquisition and Resettlement &gt; 4.4.2 2021 Performance</t>
  </si>
  <si>
    <t>Proportion of population living in households with access to basic services</t>
  </si>
  <si>
    <t>SDG 1.4.1</t>
  </si>
  <si>
    <t>Proportion of total adult population with secure tenure rights to land, with legally recognized documentation and who perceive their rights to land as secure, by sex and by type of tenure</t>
  </si>
  <si>
    <t>SDG 1.4.2</t>
  </si>
  <si>
    <t>Proportion of urban population living in slums, informal settlements or inadequate housing</t>
  </si>
  <si>
    <t>SDG 11.1.1</t>
  </si>
  <si>
    <t>Proportion of urban population using safely managed drinking water services</t>
  </si>
  <si>
    <t xml:space="preserve">SDG 6.1.1 </t>
  </si>
  <si>
    <t>Proportion of population using safely managed sanitation services</t>
  </si>
  <si>
    <t xml:space="preserve">SDG 6.2.1 </t>
  </si>
  <si>
    <t>Proportion of population who believe decision-making is inclusive and responsive</t>
  </si>
  <si>
    <t>SDG 16.7.2</t>
  </si>
  <si>
    <t>Artisanal and Small-scale Mining</t>
  </si>
  <si>
    <t>Number (and percentage) of company operating sites where ASM takes place on, or adjacent to, the site; the associated risks and the actions taken to manage and mitigate these risks</t>
  </si>
  <si>
    <t>MM8</t>
  </si>
  <si>
    <t>4. Social &gt; 4.5 Artisanal and Small-Scale Mining &gt; 4.5.2 2021 Performance</t>
  </si>
  <si>
    <t>Proportion of bodies of water with good ambient water quality</t>
  </si>
  <si>
    <t>SDG 6.3.2</t>
  </si>
  <si>
    <t>Socio-Economic Contributions</t>
  </si>
  <si>
    <t>Direct economic value generated and distributed</t>
  </si>
  <si>
    <t>GRI 201-1</t>
  </si>
  <si>
    <t>4. Social &gt; 4.6 Socio-Economic Contributions &gt; 4.6.2 2021 Performance</t>
  </si>
  <si>
    <t>Ratios of standard entry level wage by gender compared to local minimum wage</t>
  </si>
  <si>
    <t>GRI 202-1</t>
  </si>
  <si>
    <t>Infrastructure investments and services supported</t>
  </si>
  <si>
    <t>GRI 203-1</t>
  </si>
  <si>
    <t xml:space="preserve">Significant indirect economic impacts </t>
  </si>
  <si>
    <t>GRI 203-2</t>
  </si>
  <si>
    <t>Proportion of spending on local suppliers</t>
  </si>
  <si>
    <t>GRI 204-1, LPRM 302</t>
  </si>
  <si>
    <t>Table 1. 2021 Sustainability scorecard</t>
  </si>
  <si>
    <t>2021 Targets</t>
  </si>
  <si>
    <t>2021 Results</t>
  </si>
  <si>
    <t>2021 Performance</t>
  </si>
  <si>
    <t>Learn more in Report sections:</t>
  </si>
  <si>
    <t>Adopt the World Gold Council’s RGMPs as our primary ESG-reporting framework</t>
  </si>
  <si>
    <t>Met</t>
  </si>
  <si>
    <t>2021 Sustainability Report aligned with RGMPs.</t>
  </si>
  <si>
    <t>Corporate Governance &amp; Business Ethics</t>
  </si>
  <si>
    <t>Report our RGMP year-one self-assessment and external assurance results</t>
  </si>
  <si>
    <t>RGMPs Year-One Implementation Progress Report finalized, externally assured, and published.</t>
  </si>
  <si>
    <t xml:space="preserve">www.calibremining.com (ESG Overview Section) </t>
  </si>
  <si>
    <t xml:space="preserve">Design harassment prevention policy and launch training </t>
  </si>
  <si>
    <t>Partially met</t>
  </si>
  <si>
    <t>Policy design completed. Launch scheduled for 2022.</t>
  </si>
  <si>
    <t>Launch training in soft skills to improve leadership and teamwork</t>
  </si>
  <si>
    <t>Training conducted with 32 staff members.</t>
  </si>
  <si>
    <t>Implement graduate and internship program</t>
  </si>
  <si>
    <t>Program launched in Q4 2021 with 12 interns.</t>
  </si>
  <si>
    <t>HEALTH AND SAFETY</t>
  </si>
  <si>
    <t>Zero fatalities</t>
  </si>
  <si>
    <t xml:space="preserve"> Zero fatalities in our workforce; an accident related to our activities resulted in the death of a community member. See Health and Safety section for details.</t>
  </si>
  <si>
    <t>10% reduction in LTIFR</t>
  </si>
  <si>
    <t>LTIFR of 0.51, a reduction of ~22% from 2020 (0.65).</t>
  </si>
  <si>
    <t>Continue 18-month Occupational Health and Safety improvement plan</t>
  </si>
  <si>
    <t>75% progress met. Pending actions to be finalized in 2022.</t>
  </si>
  <si>
    <t>Improve risk and hazard identification</t>
  </si>
  <si>
    <t>Target deferred to Q2 2022.</t>
  </si>
  <si>
    <t>COMMUNITIES</t>
  </si>
  <si>
    <t>Maintain social license to operate</t>
  </si>
  <si>
    <t xml:space="preserve">No disputes with communities. </t>
  </si>
  <si>
    <t>Rights of Communities and Indigenous Peoples</t>
  </si>
  <si>
    <t>Build constructive relationships with Indigenous Peoples at exploration sites</t>
  </si>
  <si>
    <t>94 consultations held for new concessions application.</t>
  </si>
  <si>
    <t>Complete resettlement Action Plan (RAP) for the Cebadilla community</t>
  </si>
  <si>
    <t>RAP completed.</t>
  </si>
  <si>
    <t>Close 90% of high-risk grievances within 60 days</t>
  </si>
  <si>
    <t>Closed 60% of our high-risk grievances within 60 days.</t>
  </si>
  <si>
    <t>Improve and expand potable water systems in El Limon and La Libertad</t>
  </si>
  <si>
    <t>System improved in El Limon. La Libertad project deferred until 2022.</t>
  </si>
  <si>
    <t>Socioeconomic Contributions</t>
  </si>
  <si>
    <t>Develop and implement a local content strategy</t>
  </si>
  <si>
    <t>Local content activities implemented but no strategy developed.</t>
  </si>
  <si>
    <t xml:space="preserve">ENVIRONMENT </t>
  </si>
  <si>
    <t>Zero high-risk reportable environmental incidents</t>
  </si>
  <si>
    <t>No high-risk reportable incidents.</t>
  </si>
  <si>
    <t xml:space="preserve">Environmental Management </t>
  </si>
  <si>
    <t>Improve greenhouse gas inventories</t>
  </si>
  <si>
    <t>Inventory improvements completed.</t>
  </si>
  <si>
    <t>Conduct cyanide code gap analysis</t>
  </si>
  <si>
    <t>Analysis executed and action plan to correct deficiencies underway.</t>
  </si>
  <si>
    <t>Zero fatalities of animals listed on the National Red List of Threatened Species from our activities</t>
  </si>
  <si>
    <t>Zero fatalities.</t>
  </si>
  <si>
    <t>Table 2. Entities included in the organization's sustainability reporting</t>
  </si>
  <si>
    <t>(GRI  2-2)</t>
  </si>
  <si>
    <t>Entity / Site</t>
  </si>
  <si>
    <t>Projects</t>
  </si>
  <si>
    <t>Location</t>
  </si>
  <si>
    <t>Companies</t>
  </si>
  <si>
    <t>Limon Complex</t>
  </si>
  <si>
    <t>El Limon Mill</t>
  </si>
  <si>
    <t>Mina El Limon, Larreynaga, Leon
El Sauce, Leon
Villanueva, Chinandega</t>
  </si>
  <si>
    <t>CXB Nicaragua S.A. (Mineral Exploration)
Desarrollo Minero de Nicaragua S.A. (Gold Production – owner of the La Libertad Mine and Pavon Property)
Cerro Quiros Gold. S.A (Mineral Exploration)
Triton Minera S.A. (Gold Production – owner of the El Limon Mine)
Calibre Mining Nicaragua S.A. (Mineral Exploration)</t>
  </si>
  <si>
    <t>Limon Central OP Mine</t>
  </si>
  <si>
    <t>Santa Pancha UG Mine</t>
  </si>
  <si>
    <t>Panteon UG Mine</t>
  </si>
  <si>
    <t>Veta Nueva UG Mine</t>
  </si>
  <si>
    <t>Nearmine Exploration</t>
  </si>
  <si>
    <t>GENEX Exploration</t>
  </si>
  <si>
    <t>Libertad Complex</t>
  </si>
  <si>
    <t>La Libertad Mill</t>
  </si>
  <si>
    <t>La Libertad, Chontales
Santo Domingo, Chontales
Rancho Grande, Matagalpa</t>
  </si>
  <si>
    <t>Jabali UG Mine</t>
  </si>
  <si>
    <t>Pavon Norte OP Mine</t>
  </si>
  <si>
    <t>Eastern Borosi Project (EBP)</t>
  </si>
  <si>
    <t>Riscos de Oro Developing Spoke
GENEX Exploration</t>
  </si>
  <si>
    <t>Rosita, RACCN</t>
  </si>
  <si>
    <t>Rio Tinto Exploration JV</t>
  </si>
  <si>
    <t>BOROSI District (Bonanza, Rosita, Siuna), RACCN
Waslala, RACCN</t>
  </si>
  <si>
    <t xml:space="preserve">Note: 
In some cases, corporate office (Managua, NIC) staff may be included in the data reported, based on the disclosure requirements. These exceptions are noted where appropriate. The corporate chart of Calibre’s material subsidiaries, together with the jurisdiction of incorporation of each company and the percentage of voting securities beneficially owned, controlled or directed, are listed in the Company’s Annual Information Form for the year ended 31 December 2021 available at https://www.calibremining.com/site/assets/files/7059/calibre_mining_aif_december_31_2021_final.pdf </t>
  </si>
  <si>
    <t>Table 3. 2021 Data</t>
  </si>
  <si>
    <t>(SASB EM-MM-000.A)</t>
  </si>
  <si>
    <t>Gold produced (oz):</t>
  </si>
  <si>
    <t>182,755 ounces</t>
  </si>
  <si>
    <t>Revenue ($’000s):</t>
  </si>
  <si>
    <t>US$328,132</t>
  </si>
  <si>
    <t>Employees:</t>
  </si>
  <si>
    <t>Net income ($´000s):</t>
  </si>
  <si>
    <t>US$58,199</t>
  </si>
  <si>
    <t>AISC ($/oz):</t>
  </si>
  <si>
    <t>$1,136</t>
  </si>
  <si>
    <t>2021 BENEFIT FOOTPRINT</t>
  </si>
  <si>
    <t>US$ 32M</t>
  </si>
  <si>
    <t>Payments to suppliers in host country:</t>
  </si>
  <si>
    <t>US$ 51.9M</t>
  </si>
  <si>
    <t>Employee wages and benefits:</t>
  </si>
  <si>
    <t>US$ 47.4M</t>
  </si>
  <si>
    <t>Value of community investments:</t>
  </si>
  <si>
    <t>US$ 3M</t>
  </si>
  <si>
    <t>Total direct economic value generated:</t>
  </si>
  <si>
    <t>US$ 335.7M</t>
  </si>
  <si>
    <t>Table 4. Memberships and associations</t>
  </si>
  <si>
    <t>(GRI 2-28)</t>
  </si>
  <si>
    <t>Association</t>
  </si>
  <si>
    <t>Mission / Objective</t>
  </si>
  <si>
    <t>Our Role</t>
  </si>
  <si>
    <t>World Gold Council (WGC)</t>
  </si>
  <si>
    <t xml:space="preserve">The WGC is the market development organization for the gold industry. Its purpose is to stimulate and sustain demand for gold, provide industry leadership, and be the global authority on the gold market. </t>
  </si>
  <si>
    <t>As member of the WGC, we share in the unified vision of ensuring a sustainable gold mining industry, based on a deep understanding of gold's role in society, now and in the future. We adhere the Responsible Gold Mining Principles (RGMPs), a framework that sets out clear expectations for consumers, investors, and the downstream gold supply chain as to what constitutes responsible gold mining. In 2021, we published our Responsible Gold Mining Principles Year-One Implementation Progress Report, which was externally assured, and we are well underway to achieve full conformance within the three-year timeframe set by the Council.</t>
  </si>
  <si>
    <t>Nicaraguan Chamber of Mines (CAMINIC)</t>
  </si>
  <si>
    <t>CAMINIC is a civil, autonomous, and non-profit association established in 1995. It comprises 49 metallic, non-metallic, and cooperative partners in the business of extracting gold, silver, sand, limestone, tuff, crushed stone, and quarry stone.</t>
  </si>
  <si>
    <t>Calibre holds the vice-presidency position in CAMINIC's governing body and fully participates in the Chamber's core activities.</t>
  </si>
  <si>
    <t>Voluntary Commitments</t>
  </si>
  <si>
    <t>United Nations Guiding Principles on Business and Human Rights</t>
  </si>
  <si>
    <t>The United Nations Guiding Principles on Business and Human Rights (Guiding Principles) seek to provide an authoritative global standard for preventing and addressing the risk of adverse human rights impacts linked to business activity. Calibre’s Social Responsibility Policy and Human Rights Standard refers to the Guiding Principles as guidance.</t>
  </si>
  <si>
    <t>Voluntary Principles on Security and Human Rights</t>
  </si>
  <si>
    <t>The Voluntary Principles on Security and Human Rights (VPSHR) is a collaborative effort by governments, major multinational extractive companies, and NGOs to provide guidance to companies on how to conduct security operations while respecting human rights. Calibre’s Human Rights Standard refers to the Voluntary Principles as guidance.</t>
  </si>
  <si>
    <t xml:space="preserve">International Council on Mining &amp; Metals Mining Principles </t>
  </si>
  <si>
    <t>The International Council on Mining &amp; Metals (ICMM) Mining Principles define good practice environmental, social, and governance requirements for the mining and metals industry through a comprehensive set of performance expectations. Calibre’s Social Performance Standards align with ICMM’s Mining Principles expectations.</t>
  </si>
  <si>
    <t>International Finance Corporation Performance Standards</t>
  </si>
  <si>
    <t>The International Finance Corporation (IFC)’s Performance Standards on Environmental and Social Sustainability are an international benchmark for identifying and managing environmental and social risks. Calibre’s Social Performance Standards align with IFC’s requirements.</t>
  </si>
  <si>
    <t>International Cyanide Management Code</t>
  </si>
  <si>
    <t>The International Cyanide Management Code (Cyanide Code) is a voluntary certification program for companies that manufacture, transport, and use cyanide in the production of gold and silver, to help them improve their safe management of cyanide in order to limit the risks to human health and the environment. Our Cyanide Management Standard is aligned with the Cyanide Code.</t>
  </si>
  <si>
    <t>International Financial Reporting Foundation</t>
  </si>
  <si>
    <t>The International Financial Reporting Standards Foundation (IFRS Foundation) is a not-for-profit international organization responsible for developing a single set of high-quality global accounting standards, known as IFRS Standards. Calibre’s financial reports adhere to the IFRS Standards.</t>
  </si>
  <si>
    <t>United Nations Sustainable Development Goals</t>
  </si>
  <si>
    <t>The United Nations Sustainable Development Goals (SDGs) provide a framework for collective action to end poverty and other deprivations, tackle climate change, and preserve the environment. Our Sustainability Strategy’s goals and commitments are aligned to specific SDGs at target level.</t>
  </si>
  <si>
    <t>Table 5. Approach to stakeholder engagement</t>
  </si>
  <si>
    <t>(GRI 2-29)</t>
  </si>
  <si>
    <t>Stakeholder Category</t>
  </si>
  <si>
    <t>Purpose of Engagement</t>
  </si>
  <si>
    <t>Type of Engagement</t>
  </si>
  <si>
    <t>Examples</t>
  </si>
  <si>
    <t>Frequency</t>
  </si>
  <si>
    <t>At-risk or vulnerable groups</t>
  </si>
  <si>
    <r>
      <t>-</t>
    </r>
    <r>
      <rPr>
        <sz val="7"/>
        <color rgb="FF36256E"/>
        <rFont val="Times New Roman"/>
        <family val="1"/>
      </rPr>
      <t xml:space="preserve">   </t>
    </r>
    <r>
      <rPr>
        <sz val="9"/>
        <color rgb="FF36256E"/>
        <rFont val="Calibri"/>
        <family val="2"/>
        <scheme val="minor"/>
      </rPr>
      <t>To identify, assess, and manage actual and potential impacts.</t>
    </r>
  </si>
  <si>
    <t>Consultation</t>
  </si>
  <si>
    <t>Direct engagement at site level</t>
  </si>
  <si>
    <t>Quarterly</t>
  </si>
  <si>
    <t>Business partners (e.g., joint ventures, strategic business partners)</t>
  </si>
  <si>
    <r>
      <t>-</t>
    </r>
    <r>
      <rPr>
        <sz val="7"/>
        <color rgb="FF36256E"/>
        <rFont val="Times New Roman"/>
        <family val="1"/>
      </rPr>
      <t xml:space="preserve">   </t>
    </r>
    <r>
      <rPr>
        <sz val="9"/>
        <color rgb="FF36256E"/>
        <rFont val="Calibri"/>
        <family val="2"/>
        <scheme val="minor"/>
      </rPr>
      <t>To inform/consult/collaborate on issues such as financial and operating performance, reserves, and resources, ESG performance, and government regulations and permits.</t>
    </r>
  </si>
  <si>
    <t>Information, consultation, collaboration</t>
  </si>
  <si>
    <t>Direct engagement at corporate level, such as:
- Terms of agreements
- Annual and quarterly reports
- Regulatory filings
- Regular meetings and communications via telephone, email, conference calls, and website</t>
  </si>
  <si>
    <t>CSOs, NGOs, and academia</t>
  </si>
  <si>
    <r>
      <t>-</t>
    </r>
    <r>
      <rPr>
        <sz val="7"/>
        <color rgb="FF36256E"/>
        <rFont val="Times New Roman"/>
        <family val="1"/>
      </rPr>
      <t xml:space="preserve">  </t>
    </r>
    <r>
      <rPr>
        <sz val="9"/>
        <color rgb="FF36256E"/>
        <rFont val="Calibri"/>
        <family val="2"/>
        <scheme val="minor"/>
      </rPr>
      <t>To conduct research, establish partnerships, request advice, listen, and/or provide with relevant information.</t>
    </r>
  </si>
  <si>
    <t>Information, consultation, participation</t>
  </si>
  <si>
    <t>Direct engagement at corporate level</t>
  </si>
  <si>
    <t>Annually</t>
  </si>
  <si>
    <t>Employees and unions</t>
  </si>
  <si>
    <r>
      <t>-</t>
    </r>
    <r>
      <rPr>
        <sz val="7"/>
        <color rgb="FF36256E"/>
        <rFont val="Times New Roman"/>
        <family val="1"/>
      </rPr>
      <t xml:space="preserve">   </t>
    </r>
    <r>
      <rPr>
        <sz val="9"/>
        <color rgb="FF36256E"/>
        <rFont val="Calibri"/>
        <family val="2"/>
        <scheme val="minor"/>
      </rPr>
      <t>Right to form or join unions and bargain collectively.
-   To identify, assess, and manage actual and potential impacts on issues such as health and safety, collective agreements, remuneration and incentives, operational performance, and responsible business practices.</t>
    </r>
  </si>
  <si>
    <t>Information, participation</t>
  </si>
  <si>
    <t>Direct and indirect engagement at site level, such as:
- Mixed Commission
- Negotiations with unions
- Training programs
- Management walkabouts
- Bulletins, public boards, newsletters</t>
  </si>
  <si>
    <t>Ongoing</t>
  </si>
  <si>
    <t>Government and regulatory bodies</t>
  </si>
  <si>
    <r>
      <t>-</t>
    </r>
    <r>
      <rPr>
        <sz val="7"/>
        <color rgb="FF36256E"/>
        <rFont val="Times New Roman"/>
        <family val="1"/>
      </rPr>
      <t xml:space="preserve">  </t>
    </r>
    <r>
      <rPr>
        <sz val="9"/>
        <color rgb="FF36256E"/>
        <rFont val="Calibri"/>
        <family val="2"/>
        <scheme val="minor"/>
      </rPr>
      <t>To report, consult, or collaborate on issues such as regulatory and legal compliance, government regulation and permitting, taxes and royalties, employment, infrastructure and contribution to socioeconomic development priorities, environmental stewardship, and enforcement of the rule of law.</t>
    </r>
  </si>
  <si>
    <t>Direct engagement at corporate level, such as:
- Regulatory filings
- Responses to requests for information
- Site visits and inspections
- Meetings and personal communications</t>
  </si>
  <si>
    <t>Indigenous Peoples</t>
  </si>
  <si>
    <r>
      <t>-</t>
    </r>
    <r>
      <rPr>
        <sz val="7"/>
        <color rgb="FF36256E"/>
        <rFont val="Times New Roman"/>
        <family val="1"/>
      </rPr>
      <t xml:space="preserve">  </t>
    </r>
    <r>
      <rPr>
        <sz val="9"/>
        <color rgb="FF36256E"/>
        <rFont val="Calibri"/>
        <family val="2"/>
        <scheme val="minor"/>
      </rPr>
      <t>Right to free, prior, informed consultation for new concessions</t>
    </r>
  </si>
  <si>
    <t>Information, consultation</t>
  </si>
  <si>
    <t>Direct and indirect (through territorial representatives) engagement at site level, using local language</t>
  </si>
  <si>
    <t>Host communities</t>
  </si>
  <si>
    <r>
      <t>-</t>
    </r>
    <r>
      <rPr>
        <sz val="7"/>
        <color rgb="FF36256E"/>
        <rFont val="Times New Roman"/>
        <family val="1"/>
      </rPr>
      <t xml:space="preserve">  </t>
    </r>
    <r>
      <rPr>
        <sz val="9"/>
        <color rgb="FF36256E"/>
        <rFont val="Calibri"/>
        <family val="2"/>
        <scheme val="minor"/>
      </rPr>
      <t>Right to prior, informed consultation for new projects.
-  To inform, identify, assess, and manage actual and potential risks, opportunities and impacts, such as: employment and local business opportunities, community investment, environmental stewardship, noise/dust/vibration generation, land access/resettlement, fair and transparent distribution of economic contributions, etc.</t>
    </r>
  </si>
  <si>
    <t>Direct and indirect engagement at site level, such as:
- Public consultations, environmental, social impact assessments
- Grievance mechanism
- Artisanal and small-scale mining territorial commissions
- Face-to-face meetings
- Regular meetings with authorities and community leaders
- Local cultural and sporting events
- Socioeconomic programs
- Newspapers, radio, TV, newsletters</t>
  </si>
  <si>
    <t>Media</t>
  </si>
  <si>
    <r>
      <t>-</t>
    </r>
    <r>
      <rPr>
        <sz val="7"/>
        <color rgb="FF36256E"/>
        <rFont val="Times New Roman"/>
        <family val="1"/>
      </rPr>
      <t xml:space="preserve">  </t>
    </r>
    <r>
      <rPr>
        <sz val="9"/>
        <color rgb="FF36256E"/>
        <rFont val="Calibri"/>
        <family val="2"/>
        <scheme val="minor"/>
      </rPr>
      <t>To provide information of interest, such as financial, operating, and ESG performance, government regulations and permits, and mergers, acquisitions, and divestments.</t>
    </r>
  </si>
  <si>
    <t>Information</t>
  </si>
  <si>
    <t xml:space="preserve">Direct and indirect engagement at corporate level, such as:
- Press releases
- Interviews
- Regulatory filings
- Presentations and publications
- Website and social media channels, communication via email/telephone </t>
  </si>
  <si>
    <t>Peers and industry associations</t>
  </si>
  <si>
    <r>
      <t>-</t>
    </r>
    <r>
      <rPr>
        <sz val="7"/>
        <color rgb="FF36256E"/>
        <rFont val="Times New Roman"/>
        <family val="1"/>
      </rPr>
      <t xml:space="preserve">  </t>
    </r>
    <r>
      <rPr>
        <sz val="9"/>
        <color rgb="FF36256E"/>
        <rFont val="Calibri"/>
        <family val="2"/>
        <scheme val="minor"/>
      </rPr>
      <t>To inform/discuss/collaborate issues of common interest such as policy positions, industry targets, reporting on site performance, responsible business practice, and ESG performance.</t>
    </r>
  </si>
  <si>
    <t>Direct engagement at corporate level, such as:
- Active participation as members and on boards or other leadership assignments
- Industry-wide initiatives
- Meetings and personal communications</t>
  </si>
  <si>
    <t>Shareholders, investors, and analysts</t>
  </si>
  <si>
    <r>
      <t>-</t>
    </r>
    <r>
      <rPr>
        <sz val="7"/>
        <color rgb="FF36256E"/>
        <rFont val="Times New Roman"/>
        <family val="1"/>
      </rPr>
      <t xml:space="preserve">  </t>
    </r>
    <r>
      <rPr>
        <sz val="9"/>
        <color rgb="FF36256E"/>
        <rFont val="Calibri"/>
        <family val="2"/>
        <scheme val="minor"/>
      </rPr>
      <t>To inform/consult on issues such as share price performance, financial and operating performance, balance sheet strength, reserves and resources, ESG performance, company growth, government regulations and permits, and mergers, acquisitions, and divestments.</t>
    </r>
  </si>
  <si>
    <t>Direct and indirect engagement at corporate level, such as:
- Annual General Meeting and conference calls
- Annual and quarterly reports
- Regulatory filings
- Press releases and TSX regulatory documents
- Website and social media channels, email/telephone inquiries</t>
  </si>
  <si>
    <t>Suppliers and Contractors</t>
  </si>
  <si>
    <r>
      <t>-</t>
    </r>
    <r>
      <rPr>
        <sz val="7"/>
        <color rgb="FF36256E"/>
        <rFont val="Times New Roman"/>
        <family val="1"/>
      </rPr>
      <t xml:space="preserve">  </t>
    </r>
    <r>
      <rPr>
        <sz val="9"/>
        <color rgb="FF36256E"/>
        <rFont val="Calibri"/>
        <family val="2"/>
        <scheme val="minor"/>
      </rPr>
      <t>To inform on issues such as contract terms and conditions, workers’ rights and working conditions, and business opportunities.</t>
    </r>
  </si>
  <si>
    <t>Direct and indirect engagement at corporate and site level, such as:
- Contract negotiations
- General terms and conditions for suppliers
- Policies and standards
- Participation in training programs
- Meetings and personal communications</t>
  </si>
  <si>
    <t>Table 6. List of material topics</t>
  </si>
  <si>
    <t>(GRI 3-2)</t>
  </si>
  <si>
    <t>Material Topics as per its Significance</t>
  </si>
  <si>
    <t>Relevant Subtopics</t>
  </si>
  <si>
    <t>Occupational health and safety
Transport and traffic accidents
Emergency preparedness
COVID management</t>
  </si>
  <si>
    <t>Impacts on local communities
Rights of Indigenous Peoples
Community engagement</t>
  </si>
  <si>
    <t>Water quality and use
Discharges</t>
  </si>
  <si>
    <t>Land acquisition
Resettlement</t>
  </si>
  <si>
    <t>Waste management
Hazardous and non-hazardous materials (including tailings and&amp; cyanide management)</t>
  </si>
  <si>
    <t>Artisanal and Small-Scale Mining</t>
  </si>
  <si>
    <t>Artisanal and small-scale mining</t>
  </si>
  <si>
    <t>Procurement practices
Supplier risk &amp; due diligence</t>
  </si>
  <si>
    <t>Corporate governance
Business ethics and compliance
Bribery and corruption</t>
  </si>
  <si>
    <t>Human rights and security practices</t>
  </si>
  <si>
    <t>Employment and labour practices
Freedom of association
Training and education
Non-discrimination
Child labor
Forced or compulsory labor
Diversity and inclusion</t>
  </si>
  <si>
    <t>Environmental management and compliance</t>
  </si>
  <si>
    <t>Biodiversity management
Forest stewardship
Mine closure and land-use planning</t>
  </si>
  <si>
    <t>Energy use
Greenhouse gas emissions</t>
  </si>
  <si>
    <t>Socio-economic Contributions</t>
  </si>
  <si>
    <t>Local content (e.g. local employment and local procurement)
Investments for community development
Indirect economic impacts</t>
  </si>
  <si>
    <t>Note: Changes from 2020 include
- We have grouped significant impacts into material topics that relate to our business activity and align with the GRI Topic Standards and the Sector Standards for Mining and Metals.
- Within our material topics, we have included certain relevant topics as subtopics. Although these topics are not material to Calibre, they are relevant to us through our industry commitments. 
- Human rights is no longer a standalone material topic. As human rights issues are present across material topics, specific human rights issues and/or risks are covered within each material topic disclosure. 
- Security practices is now a standalone material topic.
Topics including Tax Transparency, Institutional Strengthening, and External Affairs have been identified as material topics in our Sustainability Strategy but are not included in this document, as they do not meet the threshold established for reporting.</t>
  </si>
  <si>
    <t>Table 65. Number (and percentage) of company operating sites where ASM takes place on, or adjacent to, the site; the associated risks and the actions taken to manage and mitigate these risks</t>
  </si>
  <si>
    <t>(GRI Mining and Metals Sector Disclosure MM8)</t>
  </si>
  <si>
    <t>Site</t>
  </si>
  <si>
    <t>ASM Present?</t>
  </si>
  <si>
    <t># ASM Workers</t>
  </si>
  <si>
    <t>Associated Risks</t>
  </si>
  <si>
    <t>Actions Taken</t>
  </si>
  <si>
    <t>Yes</t>
  </si>
  <si>
    <t>Villanueva
Somotillo</t>
  </si>
  <si>
    <r>
      <t>-</t>
    </r>
    <r>
      <rPr>
        <sz val="7"/>
        <color rgb="FF36256E"/>
        <rFont val="Times New Roman"/>
        <family val="1"/>
      </rPr>
      <t xml:space="preserve">   </t>
    </r>
    <r>
      <rPr>
        <sz val="9"/>
        <color rgb="FF36256E"/>
        <rFont val="Calibri"/>
        <family val="2"/>
        <scheme val="minor"/>
      </rPr>
      <t>Mercury pollution
-	Dumping of tailings into river systems
-	Sediment control
-	Occupational health and safety
-	Underemployment/informal work 
-	Child labor</t>
    </r>
  </si>
  <si>
    <t>Periodic monitoring and reporting to relevant government authorities</t>
  </si>
  <si>
    <t>La Libertad
Santo Domingo
Rancho Grande
San Ramón
San Isidro</t>
  </si>
  <si>
    <r>
      <t>-</t>
    </r>
    <r>
      <rPr>
        <sz val="7"/>
        <color rgb="FF36256E"/>
        <rFont val="Times New Roman"/>
        <family val="1"/>
      </rPr>
      <t xml:space="preserve">   </t>
    </r>
    <r>
      <rPr>
        <sz val="9"/>
        <color rgb="FF36256E"/>
        <rFont val="Calibri"/>
        <family val="2"/>
        <scheme val="minor"/>
      </rPr>
      <t>Mercury pollution
-	Dumping of tailings into river systems
-	Sediment control 
-	Occupational health and safety
-	Underemployment/ informal work
-	Child labor
-	Land access
-	Conflict with security teams
-	Felling of trees and damage to local fauna
-	Damage to road infrastructure</t>
    </r>
  </si>
  <si>
    <t>- Identification of exclusive zones for artisanal and small-scale mining practices.
- Promotion of technical assistance (training in exploration, safety, environmental protection, awareness of the eradication of child labor, among others).
- Promotion of harmonious relations and working relationships between artisanal miners, concessionaires, investors, property owners, etc.
- Municipal Commission on Artisanal Mining composed of Ministry of Mines, Ministry of Environment, Municipal Mayors, National Police, Nicaraguan Army, Political Secretaries, mining cooperatives and independent mining concessionaires, to discuss and resolve problems related to mining at the territorial level</t>
  </si>
  <si>
    <t>Bonanza
Rosita
Siuna</t>
  </si>
  <si>
    <r>
      <t>-</t>
    </r>
    <r>
      <rPr>
        <sz val="7"/>
        <color rgb="FF36256E"/>
        <rFont val="Times New Roman"/>
        <family val="1"/>
      </rPr>
      <t xml:space="preserve">   </t>
    </r>
    <r>
      <rPr>
        <sz val="9"/>
        <color rgb="FF36256E"/>
        <rFont val="Calibri"/>
        <family val="2"/>
        <scheme val="minor"/>
      </rPr>
      <t>Mercury pollution
-	Dumping of tailings into river systems
-	Sediment control
-	Occupational health and safety
-	Underemployment/ informal work
-	Child labor
-	Land access
-	Conflict with security teams
-	Indigenous land tenure conflicts
-	Felling of trees and damage to local fauna</t>
    </r>
  </si>
  <si>
    <r>
      <t>-</t>
    </r>
    <r>
      <rPr>
        <sz val="7"/>
        <color rgb="FF36256E"/>
        <rFont val="Times New Roman"/>
        <family val="1"/>
      </rPr>
      <t xml:space="preserve"> </t>
    </r>
    <r>
      <rPr>
        <sz val="9"/>
        <color rgb="FF36256E"/>
        <rFont val="Calibri"/>
        <family val="2"/>
        <scheme val="minor"/>
      </rPr>
      <t>Periodic monitoring and reporting to relevant government authorities
- Permanent engagement with ASM cooperatives
- Security protocols for ASM trespassing in Calibre properties
-	Artisanal Mining Census.</t>
    </r>
  </si>
  <si>
    <t> Yes</t>
  </si>
  <si>
    <t>Bonanza
Rosita
Siuna
Waslala</t>
  </si>
  <si>
    <t> N/A, concessions under request</t>
  </si>
  <si>
    <t>Table 66. Proportion of bodies of water with good ambient water quality</t>
  </si>
  <si>
    <t>(SDG 6.3.2)</t>
  </si>
  <si>
    <t>Through its artisanal mining ore purchase program, in which Calibre buys ore from formalized artisanal miners within its concessions and processes it in our Libertad Mill, we have contributed to water quality improvements by reducing pollution from the release of 1.85 tonnes of mercury and over 80,000 cubic meters of untreated wastewater from traditional ASM ore processing to the Grande de Matagalpa river and Prinzapolka river basins.</t>
  </si>
  <si>
    <t>Estimated Mercury (Hg) and Untreated Wastewater Pollution from Artisanal Mills Avoided due to Calibre Processing</t>
  </si>
  <si>
    <t>Site of Origin</t>
  </si>
  <si>
    <t>Ore Purchased (tonnes)</t>
  </si>
  <si>
    <t>Hg (ounces) / tonne ore (1)</t>
  </si>
  <si>
    <t>Total Hg (ounces)</t>
  </si>
  <si>
    <t>Total Hg (tonnes)</t>
  </si>
  <si>
    <t>H2O (cubic meters) / tonne ore (1)</t>
  </si>
  <si>
    <t>Total H2O (cubic meters)</t>
  </si>
  <si>
    <t xml:space="preserve">Pavon </t>
  </si>
  <si>
    <t>Rosita</t>
  </si>
  <si>
    <t>Siuna</t>
  </si>
  <si>
    <t>Total</t>
  </si>
  <si>
    <t>Note:
(1) A 2016 study from the Artisanal Gold Council on the Use and Release of Mercury by ASM in Nicaragua estimated that approximately 3.5oz of mercury are used per metric ton of ore processed in artisanal mills, and that a minimum average throughput of ~1 L/minute, or ~3600 L of water per day (4.32m3/metric ton) are used by rastras in Chontales, the district where La Libertad Mine is located.</t>
  </si>
  <si>
    <t>Table 27. Significant impacts of activities, products and services on biodiversity</t>
  </si>
  <si>
    <t>(GRI 304-2)</t>
  </si>
  <si>
    <t>Nature of Impact</t>
  </si>
  <si>
    <t>Type of Impact</t>
  </si>
  <si>
    <t>Species Affected</t>
  </si>
  <si>
    <t>Size of Area in Km2</t>
  </si>
  <si>
    <t>Duration</t>
  </si>
  <si>
    <t>Reversible?</t>
  </si>
  <si>
    <t>Habitat conversion</t>
  </si>
  <si>
    <t>Direct</t>
  </si>
  <si>
    <t>Reptiles and birds</t>
  </si>
  <si>
    <t>Medium term</t>
  </si>
  <si>
    <t>Construction of mine
Habitat conversion</t>
  </si>
  <si>
    <t>Mammals, reptiles and birds</t>
  </si>
  <si>
    <t>None</t>
  </si>
  <si>
    <t> N/A</t>
  </si>
  <si>
    <t>Note:
(1) Refers to area of land disturbed by our operations</t>
  </si>
  <si>
    <t>Table 28. Habitats protected or restored (1)</t>
  </si>
  <si>
    <t>(GRI 304-3)</t>
  </si>
  <si>
    <t>Size of Habitat Protected (1) in Km2</t>
  </si>
  <si>
    <t>Geographic Location of Habitat Protected</t>
  </si>
  <si>
    <t>Size of Habitat Restored in Km2</t>
  </si>
  <si>
    <t>Geographic Location of Habitat Restored</t>
  </si>
  <si>
    <t>Restoration Subject to Independent Inspection / Audit?</t>
  </si>
  <si>
    <t>Partnership with Third Parties?</t>
  </si>
  <si>
    <t>Status of Area</t>
  </si>
  <si>
    <t>Santo Domingo, Chontales</t>
  </si>
  <si>
    <t>No</t>
  </si>
  <si>
    <t>Good conservation status</t>
  </si>
  <si>
    <t>Rancho Grande, Matagalpa</t>
  </si>
  <si>
    <t>Note: 
(1) Refers to areas voluntarily restored or protected by Calibre for biodiversity conservation. Not related to areas reclaimed after disturbance.</t>
  </si>
  <si>
    <t xml:space="preserve">Table 29. Amount of land owned or leased, and managed for production activities or extractive use, disturbed or rehabilitated </t>
  </si>
  <si>
    <t>(GRI Mining and Metals Sector Disclosure MM1)</t>
  </si>
  <si>
    <r>
      <t>Site</t>
    </r>
    <r>
      <rPr>
        <sz val="8"/>
        <color theme="0"/>
        <rFont val="Calibri"/>
        <family val="2"/>
        <scheme val="minor"/>
      </rPr>
      <t>  </t>
    </r>
  </si>
  <si>
    <t>Total Disturbance at Beginning of Reporting Period (opening balance) - Km2</t>
  </si>
  <si>
    <t>New Disturbance During 2021 - Km2</t>
  </si>
  <si>
    <t>Achieved Reclamation (to agreed upon end use) During Reporting Period - Km2 (1)</t>
  </si>
  <si>
    <t>Total Disturbance not yet Reclaimed (to agreed upon end use) at End of Reporting Period (closing balance) - Km2</t>
  </si>
  <si>
    <t>Note:
(1) Refers to areas that are in the process of closure, but are not considered fully restored to be classified as "restored habitat".</t>
  </si>
  <si>
    <t>Table 30. Number and percentage of total sites identified as requiring biodiversity management plans according to stated criteria, and number (and percentage) of those sites with plans in place</t>
  </si>
  <si>
    <t>(GRI Mining and Metals Sector Disclosure MM2)</t>
  </si>
  <si>
    <t>Site Assessed Under the Criteria as in Need of a BMP?</t>
  </si>
  <si>
    <t>Criteria Used for Deciding that a BMP is Required</t>
  </si>
  <si>
    <t>Site Requiring BMP?</t>
  </si>
  <si>
    <t>BMP in Place?</t>
  </si>
  <si>
    <t>BMP Operational?</t>
  </si>
  <si>
    <t>Y</t>
  </si>
  <si>
    <t xml:space="preserve"> As per requirement of Calibre’s Biodiversity Standard:   If biodiversity management and protection was identified as a potential or actual environmental risk during original environmental impact or baseline studies or has since been identified as a risk during operations, then these sites shall develop, implement, communicate, adhere to and maintain a Biodiversity Management Plan </t>
  </si>
  <si>
    <t>N</t>
  </si>
  <si>
    <t>Table 31. Number and percentage of operations with closure plans</t>
  </si>
  <si>
    <t>(GRI Mining and Metals Sector Disclosure MM10)</t>
  </si>
  <si>
    <t>Site/Project</t>
  </si>
  <si>
    <t>Ongoing Operations</t>
  </si>
  <si>
    <t>Do Operations Have Closure Plans? (1)</t>
  </si>
  <si>
    <t>Provision for Closure?</t>
  </si>
  <si>
    <t>If Yes, Refer to Financial Statement</t>
  </si>
  <si>
    <t>El Limon Mill
Limon Central OP Mine
Santa Pancha UG Mine
Panteon UG Mine
Veta Nueva UG Mine</t>
  </si>
  <si>
    <t xml:space="preserve">Mine Restoration Provision, Annual Consolidated Financial Statements Years Ended December 31, 2021 and 2020 available in our website at www.calibremining.com and our SEDAR profile at www.sedar.com </t>
  </si>
  <si>
    <t>La Libertad Mill
Jabali UG Mine
Pavon Norte OP Mine</t>
  </si>
  <si>
    <t>Note:
(1) Refers to preliminary environmental closure plans required by national law.</t>
  </si>
  <si>
    <t>Table 32. Energy consumption within the organization (Gigajoules)</t>
  </si>
  <si>
    <t>(GRI 302-1, SASB EM-MM-130A.1)</t>
  </si>
  <si>
    <t xml:space="preserve"> </t>
  </si>
  <si>
    <t>%</t>
  </si>
  <si>
    <t>Direct energy consumed by source</t>
  </si>
  <si>
    <t>Direct non-renewable</t>
  </si>
  <si>
    <t>Diesel</t>
  </si>
  <si>
    <t>Waste oil</t>
  </si>
  <si>
    <t>Gasoline</t>
  </si>
  <si>
    <t>Natural gas</t>
  </si>
  <si>
    <t>Propane</t>
  </si>
  <si>
    <t>Heavy fuel oil</t>
  </si>
  <si>
    <t>Aviation fuel</t>
  </si>
  <si>
    <t xml:space="preserve">Direct renewable </t>
  </si>
  <si>
    <t>Hydropower</t>
  </si>
  <si>
    <t>Wind</t>
  </si>
  <si>
    <t>Solar</t>
  </si>
  <si>
    <t>Biodiesel</t>
  </si>
  <si>
    <t>Total direct energy consumed</t>
  </si>
  <si>
    <t>Indirect energy consumed by source</t>
  </si>
  <si>
    <t>Grid electricity from renewable sources</t>
  </si>
  <si>
    <t>Grid electricity from non-renewable sources</t>
  </si>
  <si>
    <t>Total indirect energy consumed</t>
  </si>
  <si>
    <t>Total Energy Consumed (direct and indirect)</t>
  </si>
  <si>
    <t>Table 33. Energy intensity</t>
  </si>
  <si>
    <t>(GRI 302-3)</t>
  </si>
  <si>
    <t>Energy Intensity Ratio (GJ/oz)(1)</t>
  </si>
  <si>
    <r>
      <t>Note:
(1)</t>
    </r>
    <r>
      <rPr>
        <sz val="7"/>
        <color rgb="FF36256E"/>
        <rFont val="Times New Roman"/>
        <family val="1"/>
      </rPr>
      <t xml:space="preserve">      </t>
    </r>
    <r>
      <rPr>
        <sz val="9"/>
        <color rgb="FF36256E"/>
        <rFont val="Calibri"/>
        <family val="2"/>
        <scheme val="minor"/>
      </rPr>
      <t>Types of energy included: LPG, diesel and electricity</t>
    </r>
  </si>
  <si>
    <t>Table 34. GHG emissions intensity (Scopes 1&amp;2) - metric tons CO2e per tonne of ore processed</t>
  </si>
  <si>
    <t>(GRI 305-1; 305-2; 305-4; &amp; SASB EM-MM-110A.1)</t>
  </si>
  <si>
    <t>Scope 1 (tCO2e)</t>
  </si>
  <si>
    <t>Scope 2 (tCO2e)</t>
  </si>
  <si>
    <t>Total (tCO2e)</t>
  </si>
  <si>
    <t>% of Total Annual CO2e</t>
  </si>
  <si>
    <t>Ounces of Gold Produced (oz)</t>
  </si>
  <si>
    <t>GHG Emissions Intensity (tCO2e/oz Au produced)</t>
  </si>
  <si>
    <t>Table 51. Public consultations held</t>
  </si>
  <si>
    <t>Date</t>
  </si>
  <si>
    <t>Project</t>
  </si>
  <si>
    <t># Participants</t>
  </si>
  <si>
    <t>Outcome</t>
  </si>
  <si>
    <t>30 April, 2021</t>
  </si>
  <si>
    <t>Amalia – Nispero exploration project</t>
  </si>
  <si>
    <t xml:space="preserve">La Libertad, Chontales </t>
  </si>
  <si>
    <t>Permit granted</t>
  </si>
  <si>
    <t>27 August, 2021</t>
  </si>
  <si>
    <t>Las Brisas exploration project</t>
  </si>
  <si>
    <t>5 November, 2021</t>
  </si>
  <si>
    <t>San Jose TSF expansion</t>
  </si>
  <si>
    <t>Malpaisillo, Leon</t>
  </si>
  <si>
    <t>Table 52. Operations with local community engagement, impact assessments, and development programs</t>
  </si>
  <si>
    <t>(GRI 413-1)</t>
  </si>
  <si>
    <t>Does the Operation Have Local Community Engagement Plans? Is it Based on SH Mapping?</t>
  </si>
  <si>
    <t>SIA Conducted? Year of Last SIA</t>
  </si>
  <si>
    <t>Does the Operation Have Development Programs?</t>
  </si>
  <si>
    <t>Does the Operation Have Formal Local Community Grievance Processes?</t>
  </si>
  <si>
    <t>Site Engages with Broad-based Local Community Consultation Committees that Include Vulnerable Groups?</t>
  </si>
  <si>
    <t>Sites Engages with Worker Councils, OH&amp;S Committees and other Worker Representation Bodies to Manage Social Impacts?</t>
  </si>
  <si>
    <t>Yes. 2021.</t>
  </si>
  <si>
    <t>No, under construction.</t>
  </si>
  <si>
    <t>No, engagement focused in landowners to ensure approval to conduct exploration activities on their land.</t>
  </si>
  <si>
    <t>Rio Tinto JV</t>
  </si>
  <si>
    <t>Table 53. Operations with significant actual and potential negative impacts on local communities</t>
  </si>
  <si>
    <t>(GRI 413-2)</t>
  </si>
  <si>
    <t>Items</t>
  </si>
  <si>
    <t>Eastern Borosi Project</t>
  </si>
  <si>
    <t>Location (Municipality)</t>
  </si>
  <si>
    <t>Larreynaga, El Sauce, Villanueva</t>
  </si>
  <si>
    <t>La Libertad, Santo Domingo, Rancho Grande</t>
  </si>
  <si>
    <t>Bonanza, Rosita, Siuna, Waslala</t>
  </si>
  <si>
    <t>Top significant actual and potential negative impacts on local communities</t>
  </si>
  <si>
    <t>- Air pollution
- Community fatalities and serious injuries
- Community health problems
- Damage to local livelihoods 
- Forced displacement
- Loss of access to water
- Loss of wildlife
- Water pollution</t>
  </si>
  <si>
    <r>
      <t>-</t>
    </r>
    <r>
      <rPr>
        <sz val="9"/>
        <color rgb="FF36256E"/>
        <rFont val="Times New Roman"/>
        <family val="1"/>
      </rPr>
      <t> </t>
    </r>
    <r>
      <rPr>
        <sz val="9"/>
        <color rgb="FF36256E"/>
        <rFont val="Calibri"/>
        <family val="2"/>
        <scheme val="minor"/>
      </rPr>
      <t>Abuses by security forces
- Air pollution
- Community fatalities and serious injuries
- Community health problems
- Damage to local livelihoods 
- Forced displacement
- Loss of wildlife
- Water pollution</t>
    </r>
  </si>
  <si>
    <r>
      <t>-</t>
    </r>
    <r>
      <rPr>
        <sz val="9"/>
        <color rgb="FF36256E"/>
        <rFont val="Times New Roman"/>
        <family val="1"/>
      </rPr>
      <t> </t>
    </r>
    <r>
      <rPr>
        <sz val="9"/>
        <color rgb="FF36256E"/>
        <rFont val="Calibri"/>
        <family val="2"/>
        <scheme val="minor"/>
      </rPr>
      <t>Abuses by security forces
- Violations of Indigenous People's rights
- Water pollution</t>
    </r>
  </si>
  <si>
    <t>Violations of Indigenous People's rights</t>
  </si>
  <si>
    <t>Table 54. Total number of operations taking place in or adjacent to Indigenous Peoples' territories, and number and percentage of operations or sites where there are formal agreements with Indigenous Peoples' communities</t>
  </si>
  <si>
    <t>(GRI Mining and Metal Sector Disclosure MM5)</t>
  </si>
  <si>
    <t>Adjacent (1) to Indigenous Territories?</t>
  </si>
  <si>
    <t>Formal Agreements (2) with Indigenous Peoples' Communities?</t>
  </si>
  <si>
    <t>Description of agreements</t>
  </si>
  <si>
    <r>
      <t>N/A</t>
    </r>
    <r>
      <rPr>
        <sz val="8"/>
        <color rgb="FF36256E"/>
        <rFont val="Calibri"/>
        <family val="2"/>
        <scheme val="minor"/>
      </rPr>
      <t>  </t>
    </r>
  </si>
  <si>
    <t xml:space="preserve">Yes </t>
  </si>
  <si>
    <r>
      <t xml:space="preserve">Form of consent </t>
    </r>
    <r>
      <rPr>
        <sz val="8"/>
        <color rgb="FF36256E"/>
        <rFont val="Calibri"/>
        <family val="2"/>
        <scheme val="minor"/>
      </rPr>
      <t>  </t>
    </r>
    <r>
      <rPr>
        <sz val="9"/>
        <color rgb="FF36256E"/>
        <rFont val="Calibri"/>
        <family val="2"/>
        <scheme val="minor"/>
      </rPr>
      <t>for the execution of the project within the indigenous territory</t>
    </r>
  </si>
  <si>
    <t xml:space="preserve">1 operation taking place in or adjacent to Indigenous People’s territories; out of which 1 site (100%) with formal agreement </t>
  </si>
  <si>
    <t xml:space="preserve">Notes:
(1) ‘Adjacent’ refers to land physically contiguous to, or influenced by, the operating site.
(2) Formal agreements refer to written agreements or other agreements that are recognized by the appointed leaders of the community (e.g., formal benefit agreements or community development plans). </t>
  </si>
  <si>
    <t>Table 55. Number and description of significant disputes(1) relating to land use, customary rights of local communities and Indigenous Peoples</t>
  </si>
  <si>
    <t>(GRI Mining and Metal Sector Disclosure MM6)</t>
  </si>
  <si>
    <t>Type of dispute</t>
  </si>
  <si>
    <t>Description / Nature</t>
  </si>
  <si>
    <t>Land use</t>
  </si>
  <si>
    <t>Eastern Borosi Gold-Silver Project (EBP)</t>
  </si>
  <si>
    <t>Land acquisition</t>
  </si>
  <si>
    <t>Guapinol</t>
  </si>
  <si>
    <t>Other resource use</t>
  </si>
  <si>
    <t>Resettlement negotiations</t>
  </si>
  <si>
    <t>Tajo Antena</t>
  </si>
  <si>
    <t>Note: 
(1) Significant social disputes are defined as grievances that cannot be resolved jointly within a reasonable time frame and/or require significant financial resources to resolve.</t>
  </si>
  <si>
    <t>Table 56. Extent to which grievance mechanisms were used to resolve disputes relating to land use, customary rights of local communities and Indigenous Peoples, and the outcomes</t>
  </si>
  <si>
    <t>(GRI Mining and Metal Sector Disclosure MM7)</t>
  </si>
  <si>
    <t>Dispute Nature</t>
  </si>
  <si>
    <t>Use of Grievance Procedure?</t>
  </si>
  <si>
    <t>Status</t>
  </si>
  <si>
    <t>Participation of other relevant stakeholders to mediate the process.</t>
  </si>
  <si>
    <t>Ongoing negotiations according to Jabali RAP compensation framework</t>
  </si>
  <si>
    <t>Table 57. Proportion of population who have experienced a dispute in the past two years and who accessed a formal or informal dispute resolution mechanism, by type of mechanism</t>
  </si>
  <si>
    <t>(SDG 16.3.3)</t>
  </si>
  <si>
    <t>Est. Population for 2021 (1)</t>
  </si>
  <si>
    <t># Grievances Registered in 2020</t>
  </si>
  <si>
    <t># Grievances Registered in 2021</t>
  </si>
  <si>
    <t>Grievances Registered in 2020/2021</t>
  </si>
  <si>
    <t>Percentage of Population Utilizing Calibre's Community Grievance Mechanism</t>
  </si>
  <si>
    <t>La Libertad</t>
  </si>
  <si>
    <t>Mina El Limon</t>
  </si>
  <si>
    <t>Rancho Grande</t>
  </si>
  <si>
    <t>Santo Domingo</t>
  </si>
  <si>
    <t xml:space="preserve">Note: 
(1) Source: National Health Map in Nicaragua. Ministry of Health. Available at http://mapasalud.minsa.gob.ni/ </t>
  </si>
  <si>
    <t>Table 7. Governance structure and composition, diversity of governance bodies</t>
  </si>
  <si>
    <t>(GRI 2-9, 405-1)</t>
  </si>
  <si>
    <t>Number of directors</t>
  </si>
  <si>
    <t>Number of independent members</t>
  </si>
  <si>
    <t>Number of women members</t>
  </si>
  <si>
    <t>Average tenure (years) of members</t>
  </si>
  <si>
    <t>8 years</t>
  </si>
  <si>
    <t>Code of conduct for directors</t>
  </si>
  <si>
    <t>Board oversight of sustainability</t>
  </si>
  <si>
    <t>% Board members under 30 years old</t>
  </si>
  <si>
    <t>% Board members 30-50 years old</t>
  </si>
  <si>
    <t>% Board members over 50 years old</t>
  </si>
  <si>
    <t># Black, Indigenous, Person of Colour (BIPOC)</t>
  </si>
  <si>
    <r>
      <t xml:space="preserve">Note: 
Information on our Board composition, skills, and experience as well as other public directorships can be found in our Notice of Annual General Meeting and Information Circular of January 5, 2022, available in our website at https://www.calibremining.com/site/assets/files/6803/calibre_-_information_circular_jan_2022_sm_final_pri.pdf, or under </t>
    </r>
    <r>
      <rPr>
        <sz val="8"/>
        <color rgb="FF36256E"/>
        <rFont val="Calibri"/>
        <family val="2"/>
        <scheme val="minor"/>
      </rPr>
      <t> </t>
    </r>
    <r>
      <rPr>
        <sz val="9"/>
        <color rgb="FF36256E"/>
        <rFont val="Calibri"/>
        <family val="2"/>
        <scheme val="minor"/>
      </rPr>
      <t>the Company’s SEDAR profile at www.sedar.com.</t>
    </r>
  </si>
  <si>
    <t>Table 8. Mechanisms for seeking advise and raising concerns</t>
  </si>
  <si>
    <t>(GRI 2-26)</t>
  </si>
  <si>
    <t>Mechanism</t>
  </si>
  <si>
    <t>Responsibility</t>
  </si>
  <si>
    <t>How are Stakeholder Informed of the Mechanism?</t>
  </si>
  <si>
    <t>Intended Users</t>
  </si>
  <si>
    <t>Availability and Accessibility</t>
  </si>
  <si>
    <t>Available in Different Languages?</t>
  </si>
  <si>
    <t>Independent?</t>
  </si>
  <si>
    <t>Confidential?</t>
  </si>
  <si>
    <t>Anonymous?</t>
  </si>
  <si>
    <t>Non-retaliation ensured?</t>
  </si>
  <si>
    <t>Whistleblower hotline</t>
  </si>
  <si>
    <t>Audit Committee (Board)</t>
  </si>
  <si>
    <t>Periodic training and written acknowledgment request</t>
  </si>
  <si>
    <t>24/7</t>
  </si>
  <si>
    <t>English and Spanish</t>
  </si>
  <si>
    <t>Escalation processes through management levels</t>
  </si>
  <si>
    <t xml:space="preserve">Human Resources </t>
  </si>
  <si>
    <t>Townhalls</t>
  </si>
  <si>
    <t>Business hours</t>
  </si>
  <si>
    <t>Worker grievance support mechanism - site level</t>
  </si>
  <si>
    <t>Unions</t>
  </si>
  <si>
    <r>
      <t>Employees</t>
    </r>
    <r>
      <rPr>
        <sz val="8"/>
        <color rgb="FF36256E"/>
        <rFont val="Calibri"/>
        <family val="2"/>
        <scheme val="minor"/>
      </rPr>
      <t>  </t>
    </r>
  </si>
  <si>
    <t>Spanish</t>
  </si>
  <si>
    <t>Community grievance mechanism - site level</t>
  </si>
  <si>
    <t>Community Relations.</t>
  </si>
  <si>
    <t xml:space="preserve">Community engagement </t>
  </si>
  <si>
    <t>Local communities, including contractors' local workforce</t>
  </si>
  <si>
    <t>Table 9. Operations assessed for risk related to corruption</t>
  </si>
  <si>
    <t>(GRI 205-1)</t>
  </si>
  <si>
    <t>Total # of Operations</t>
  </si>
  <si>
    <t xml:space="preserve"># Operations Assessed </t>
  </si>
  <si>
    <t>% Operations Assessed</t>
  </si>
  <si>
    <t>Significant Risks Identified</t>
  </si>
  <si>
    <r>
      <t>3</t>
    </r>
    <r>
      <rPr>
        <sz val="8"/>
        <color rgb="FF36256E"/>
        <rFont val="Calibri"/>
        <family val="2"/>
        <scheme val="minor"/>
      </rPr>
      <t> </t>
    </r>
  </si>
  <si>
    <r>
      <t>-</t>
    </r>
    <r>
      <rPr>
        <sz val="7"/>
        <color rgb="FF36256E"/>
        <rFont val="Times New Roman"/>
        <family val="1"/>
      </rPr>
      <t xml:space="preserve">     </t>
    </r>
    <r>
      <rPr>
        <sz val="9"/>
        <color rgb="FF36256E"/>
        <rFont val="Calibri"/>
        <family val="2"/>
        <scheme val="minor"/>
      </rPr>
      <t xml:space="preserve">Potential for corruption related to commercial relations, and links to community members and/or artisanal mining.
-     Evidence of money laundering, fraud and visa restrictions by the US departments found during screening of potential suppliers and/or relatives of potential suppliers. </t>
    </r>
  </si>
  <si>
    <t>Note:
The operation not assessed was due to the fact it had no open contracting and/or tender processes to review during the reporting period.</t>
  </si>
  <si>
    <t>Table 10. Communications and training on anti-corruption policies and procedures</t>
  </si>
  <si>
    <t>(GRI 205-2)</t>
  </si>
  <si>
    <t># Employees</t>
  </si>
  <si>
    <t># Employees that Anti-corruption Policies and Procedures have been Communicated to (1)</t>
  </si>
  <si>
    <t>% Employees</t>
  </si>
  <si>
    <t># Employees that have Received Training on Anti-corruption (2)</t>
  </si>
  <si>
    <t>% Employees Trained</t>
  </si>
  <si>
    <t>78% (3)</t>
  </si>
  <si>
    <t>48 (4)</t>
  </si>
  <si>
    <t xml:space="preserve">Notes:
(1) Communication of policies through introductory talks, email and written request for acknowledgment
(2) Training topics included compliance procedures for suppliers; compliance procedures for employees; and Induction on Prevention of Money Laundering, Financing of Terrorism, and Financing of Weapons of Mass Destruction Proliferation
(3) From the remaining 22%, 21% of employees received communication in 2020 and 1% have been either on vacation or subsidy during scheduled talks.  
(4) Employees that receive detailed training on anti-corruption procedures are those in charge of the tender and/or contracting and therefore responsible for anti-corruption controls. </t>
  </si>
  <si>
    <t># Suppliers</t>
  </si>
  <si>
    <t># Business Partners that Anti-corruption Policies and Procedures have been Communicated to</t>
  </si>
  <si>
    <t xml:space="preserve">Note: 
Policies have been communicated to all potential and actual suppliers during tendering processes. </t>
  </si>
  <si>
    <t xml:space="preserve">Table 11. Confirmed incidents of corruption and actions taken </t>
  </si>
  <si>
    <t>(GRI 205-3)</t>
  </si>
  <si>
    <t># Confirmed Incidents of Corruption (1)</t>
  </si>
  <si>
    <t>Nature</t>
  </si>
  <si>
    <t>¿Contract(s) with Business Partner(s) Terminated or not Renewed?</t>
  </si>
  <si>
    <t>¿Public Legal Case (2) brought against the Organization or its Employees?</t>
  </si>
  <si>
    <t>If Yes, Outcomes</t>
  </si>
  <si>
    <t>Evidence of suspected money laundering by a potential supplier.</t>
  </si>
  <si>
    <t>Notes:
(1) A confirmed incident of corruption is an incident that has been investigated and substantiated. It does not include incidents that are still under investigation in the reporting period (Jan - Dec 2021). No confirmed incidents of corruptions were related to employees.
(2) Public legal cases regarding corruption can include current public investigations, prosecutions, or closed cases.</t>
  </si>
  <si>
    <t>Table 14. Description of environmental management policies and practices (EMPs) for active sites</t>
  </si>
  <si>
    <t>(SASB EM-MM-160A.1)</t>
  </si>
  <si>
    <t>EMP being implemented?</t>
  </si>
  <si>
    <t>Lifecycle stage</t>
  </si>
  <si>
    <t>Topics addressed by EMP</t>
  </si>
  <si>
    <t>Production</t>
  </si>
  <si>
    <t xml:space="preserve"> Waste generation, noise impacts, air emissions, discharges to water, natural resource consumption,hazardous chemical usage, biodiversity impacts, and environmental monitoring </t>
  </si>
  <si>
    <t xml:space="preserve"> Waste generation, noise impacts, air emissions, discharges to water, natural resource consumption,  hazardous chemical usage, biodiversity impacts, and environmental monitoring </t>
  </si>
  <si>
    <t xml:space="preserve">Exploration </t>
  </si>
  <si>
    <t xml:space="preserve"> Waste generation, noise impacts, air emissions, natural resource consumption, biodiversity impacts, and environmental monitoring </t>
  </si>
  <si>
    <t>Table 42. Worker(1) training on occupational health and safety</t>
  </si>
  <si>
    <t>(GRI 403-5, EM-MM-320a.1 )</t>
  </si>
  <si>
    <t>Type of training</t>
  </si>
  <si>
    <t>Topics</t>
  </si>
  <si>
    <t># People Trained 2020</t>
  </si>
  <si>
    <t># People Trained 2021</t>
  </si>
  <si>
    <t>Frequency of Training</t>
  </si>
  <si>
    <t>Duration of Training (hours)</t>
  </si>
  <si>
    <t>Mandatory?</t>
  </si>
  <si>
    <t>Basic training</t>
  </si>
  <si>
    <t xml:space="preserve">General Inductions, HIRA, JSA, First Aid, Manual Handling, Five Point System, Solid Waste, Fire Prevention, Emergency, Biodiversity, COVID - 19 Protocols. </t>
  </si>
  <si>
    <t>At least annually</t>
  </si>
  <si>
    <t>2hrs</t>
  </si>
  <si>
    <t>Yes. To all employees and contractors' workers.</t>
  </si>
  <si>
    <t>General training</t>
  </si>
  <si>
    <t xml:space="preserve">LOTO, Hot Works, Working at Hight, Confined Space, HCNa, Amassing, Polishing and grinding, Oxy fuel cutting, Work Permits, Operation of light equipment, Hydrocarbon handling, Road education, Oxygen therapy, Use and handle of Ciano kit. </t>
  </si>
  <si>
    <t>Yes. To targeted audience according to area of work.</t>
  </si>
  <si>
    <t>Specific work-related hazards training</t>
  </si>
  <si>
    <t>Cyanide preparation, Use of Forklifts, Use of Boilers, Operation of Articulated Trucks, Use and Handling of Front Loaders, Hydro cyclones, Geomembrane Installation, Explosives</t>
  </si>
  <si>
    <t>4-8hrs</t>
  </si>
  <si>
    <t>Yes. To targeted audience according to job post specifications.</t>
  </si>
  <si>
    <t>Note:
(1) Includes employees and contractors</t>
  </si>
  <si>
    <t>Table 43. Workers covered by an occupational health and safety management system</t>
  </si>
  <si>
    <t>(GRI 403-8)</t>
  </si>
  <si>
    <t>Workers Covered by an Occupational H&amp;S Management System</t>
  </si>
  <si>
    <t>EBP</t>
  </si>
  <si>
    <t>Managua</t>
  </si>
  <si>
    <t xml:space="preserve"># Total Employees </t>
  </si>
  <si>
    <t># Employees covered by the OHS Management System:</t>
  </si>
  <si>
    <t>% Employees covered by the OHS Management System:</t>
  </si>
  <si>
    <t># Total Contractors´ Workers:</t>
  </si>
  <si>
    <t># Contractors' Workers covered by the OHS Management System:</t>
  </si>
  <si>
    <t>% Contractors' Workers covered by the OHS Management System:</t>
  </si>
  <si>
    <t># Total Workers (e.g., Employees + Contractors' workers)</t>
  </si>
  <si>
    <t># Workers covered by internally audited OHS Management System (1):</t>
  </si>
  <si>
    <t>% Workers covered by internally audited OHS Management System (1):</t>
  </si>
  <si>
    <t>Note:
(1) No audit conducted during reporting period.</t>
  </si>
  <si>
    <t>Table 44. Employee data on work-related injuries</t>
  </si>
  <si>
    <t>(GRI 403-9; EM-MM-320a.1, SDG 8.8.1)</t>
  </si>
  <si>
    <t># Fatalities</t>
  </si>
  <si>
    <t>Rate Fatalities</t>
  </si>
  <si>
    <t># High-consequence Work-related Injuries</t>
  </si>
  <si>
    <t>High-consequence Work-related Injuries Rate (1)</t>
  </si>
  <si>
    <t># Recordable Work-related Injuries</t>
  </si>
  <si>
    <t>Recordable Work-related Injuries Rate (2)</t>
  </si>
  <si>
    <t>Main Types of Work-related Injury</t>
  </si>
  <si>
    <t># Hours Worked</t>
  </si>
  <si>
    <t>Contusion, open wound, superficial injury, sprain and strain, abrasion, hot water burns, excoriation.</t>
  </si>
  <si>
    <t>Contusion, open wound, superficial injury, sprain and strain, excoriation.</t>
  </si>
  <si>
    <t>Pavon Mine</t>
  </si>
  <si>
    <t>Fracture, laceration</t>
  </si>
  <si>
    <r>
      <t>Amputation</t>
    </r>
    <r>
      <rPr>
        <sz val="8"/>
        <color rgb="FF36256E"/>
        <rFont val="Calibri"/>
        <family val="2"/>
        <scheme val="minor"/>
      </rPr>
      <t> </t>
    </r>
  </si>
  <si>
    <t>CXB</t>
  </si>
  <si>
    <t>Managua Office</t>
  </si>
  <si>
    <t>Table 45. Contractor data on work-related injuries</t>
  </si>
  <si>
    <t>Fractures, wounds, burns, amputations, etc.</t>
  </si>
  <si>
    <t>Contusions, sprains, amputations, wounds, entrapment.</t>
  </si>
  <si>
    <t>Amputation</t>
  </si>
  <si>
    <t>Notes:
(1) High consequence work-related injury rate is the number of high consequence work-related injuries x 200,000 hours / total hours worked
(2) Recordable work-related injury rate is the number of recordable work-related injuries x 200,000 hours / total hours worked</t>
  </si>
  <si>
    <t>Table 46. Recordable work-related injury by type of incident</t>
  </si>
  <si>
    <t>Number</t>
  </si>
  <si>
    <t>Type(s)</t>
  </si>
  <si>
    <t xml:space="preserve">Falling object, fall to the same level, contact against, struck by, entrapment. </t>
  </si>
  <si>
    <t xml:space="preserve">Pavon Mine </t>
  </si>
  <si>
    <t>Falling object, contact against</t>
  </si>
  <si>
    <t>Caught by</t>
  </si>
  <si>
    <t>Table 47. Other relevant data</t>
  </si>
  <si>
    <t># High-potential Work-related Incidents Identified</t>
  </si>
  <si>
    <t># Close Calls Identified</t>
  </si>
  <si>
    <t xml:space="preserve">Large rock fall, heavy equipment collision, rock fall in UG mine, electrocution, poor maintenance of ore haulage trucks. </t>
  </si>
  <si>
    <t>Overturning of equipment on the road, collision on the road, loss of control of equipment, loss of control of moving equipment</t>
  </si>
  <si>
    <t>Overturning of heavy equipment, loss of control of moving equipment, Collision between heavy equipment, falling trees causing fracture</t>
  </si>
  <si>
    <t>Table 48. Employee data on work-related ill-health</t>
  </si>
  <si>
    <t>(GRI 403-10)</t>
  </si>
  <si>
    <t># Cases of Recordable Work-related Ill Health (1)</t>
  </si>
  <si>
    <t>Main Types of Work-related Ill Health (1)</t>
  </si>
  <si>
    <t>N/D</t>
  </si>
  <si>
    <t>Note:
(1) Information unavailable. Data under construction.</t>
  </si>
  <si>
    <t>Table 49. Contractor data on work-related ill-health</t>
  </si>
  <si>
    <t>Table 50. Death rate due to road traffic injuries</t>
  </si>
  <si>
    <t>(SDG 3.6.1)</t>
  </si>
  <si>
    <t>Nicaragua (1)</t>
  </si>
  <si>
    <t xml:space="preserve">Highway Road Fatalities Related to our Operation </t>
  </si>
  <si>
    <t># Deaths due to road traffic injuries</t>
  </si>
  <si>
    <t>Notes:
(1) 2020 data as per latest National Police Statistical Yearbook available at https://www.policia.gob.ni/.</t>
  </si>
  <si>
    <t xml:space="preserve">Table 35. Employees </t>
  </si>
  <si>
    <t>(GRI 2-7, EM-MM-000.B )</t>
  </si>
  <si>
    <t>Employees by Gender at Year End 2021</t>
  </si>
  <si>
    <t>Woman</t>
  </si>
  <si>
    <t>Man</t>
  </si>
  <si>
    <t>Other (1)</t>
  </si>
  <si>
    <t>Not Disclosed</t>
  </si>
  <si>
    <t>Number of employees (head count / FTE)</t>
  </si>
  <si>
    <t>Number of permanent employees (head count / FTE)</t>
  </si>
  <si>
    <t>Number of temporary employees (head count / FTE)</t>
  </si>
  <si>
    <t>Number of non-guaranteed hours employees (head count / FTE)</t>
  </si>
  <si>
    <t>Number of full-time employees (head count / FTE)</t>
  </si>
  <si>
    <t>Number of part-time employees (head count / FTE)</t>
  </si>
  <si>
    <t xml:space="preserve">Note:
(1) Calibre does not have non-guaranteed hours or part-time employees. </t>
  </si>
  <si>
    <t>Employees by Region at Year End 2021</t>
  </si>
  <si>
    <t>Local (1)</t>
  </si>
  <si>
    <t>National, Non-local (2)</t>
  </si>
  <si>
    <t>Total National (3)</t>
  </si>
  <si>
    <t xml:space="preserve">Foreign </t>
  </si>
  <si>
    <t>Notes:
(1) Local is defined as people from communities adjacent or near to our operations.
(2) National, non-local is defined as Nicaraguans not from communities adjacent or near our operations.
(3) Nationals is defined as the sum of local plus non-local Nicaraguans.</t>
  </si>
  <si>
    <t>Table 36. Workers who are not employees (Contractors)</t>
  </si>
  <si>
    <t>(GRI 2-8)</t>
  </si>
  <si>
    <t>Workers by Gender at Year End 2021</t>
  </si>
  <si>
    <t>Workers by Origin at Year End 2021</t>
  </si>
  <si>
    <t>Women</t>
  </si>
  <si>
    <t>Men</t>
  </si>
  <si>
    <t>Nicaraguan</t>
  </si>
  <si>
    <t>Foreign</t>
  </si>
  <si>
    <t>Note: No other gender has been disclosed</t>
  </si>
  <si>
    <t>Table 37. New employee hires and employee turnover</t>
  </si>
  <si>
    <t>(GRI 401-1)</t>
  </si>
  <si>
    <t>New Hires</t>
  </si>
  <si>
    <t>Total New Hires</t>
  </si>
  <si>
    <t>Percent of Total Employee Population</t>
  </si>
  <si>
    <t>By site</t>
  </si>
  <si>
    <t>Managua offices</t>
  </si>
  <si>
    <t>By age group</t>
  </si>
  <si>
    <t>&lt;30</t>
  </si>
  <si>
    <t>30 to 50</t>
  </si>
  <si>
    <t>&gt;50</t>
  </si>
  <si>
    <t>By gender</t>
  </si>
  <si>
    <t>By region</t>
  </si>
  <si>
    <t>National - Local (1)</t>
  </si>
  <si>
    <t>ND</t>
  </si>
  <si>
    <t>National - Non local (2)</t>
  </si>
  <si>
    <t>Notes:
(1) Local is defined as people from communities adjacent or near to our operations.
(2) National, non-local is defined as Nicaraguans not from communities adjacent or near our operations.</t>
  </si>
  <si>
    <t>Turnover by Age Group</t>
  </si>
  <si>
    <r>
      <t>2020</t>
    </r>
    <r>
      <rPr>
        <sz val="8"/>
        <color theme="0"/>
        <rFont val="Calibri"/>
        <family val="2"/>
        <scheme val="minor"/>
      </rPr>
      <t>  </t>
    </r>
  </si>
  <si>
    <t>Voluntary Turnover</t>
  </si>
  <si>
    <t>Turnover Rate (%) (1)</t>
  </si>
  <si>
    <t>Involuntary Turnover</t>
  </si>
  <si>
    <t>Total Turnover Rate (%) (1)</t>
  </si>
  <si>
    <t>51+</t>
  </si>
  <si>
    <t>Notes:
(1) Turnover rate calculated considering only permanent employees and % calculated against average number permanent employees during 2021 (e.g. 1132)</t>
  </si>
  <si>
    <t>Turnover by gender</t>
  </si>
  <si>
    <t>Notes:
(1)  Turnover rate calculated considering only permanent employees and % calculated against average number permanent employees during 2021 (e.g. 1132)</t>
  </si>
  <si>
    <t>Turnover by region</t>
  </si>
  <si>
    <t>National - Local (2)</t>
  </si>
  <si>
    <t>National - Non local (3)</t>
  </si>
  <si>
    <t>Foreign - national</t>
  </si>
  <si>
    <t>Notes:
(1)  Turnover rate calculated considering only permanent employees and % calculated against average number permanent employees during 2021 (e.g. 1132)
(2) Local is defined as people from communities adjacent or near to our operations.
(2) National, non-local is defined as Nicaraguans not from communities adjacent or near our operations.</t>
  </si>
  <si>
    <t>Turnover rate</t>
  </si>
  <si>
    <t>Voluntary Turnover % (1)</t>
  </si>
  <si>
    <t>Involuntary Turnover % (1)</t>
  </si>
  <si>
    <t>Table 38. Average hours of training per year per employee by gender</t>
  </si>
  <si>
    <t>(GRI 401-4)</t>
  </si>
  <si>
    <t xml:space="preserve">Employee </t>
  </si>
  <si>
    <t># Training Hours Provided</t>
  </si>
  <si>
    <t>Average Training Hours per Employee</t>
  </si>
  <si>
    <t>Table 39. Percentage of employees per employee category in diversity categories</t>
  </si>
  <si>
    <t>(GRI 405-1)</t>
  </si>
  <si>
    <t>Percentage of Employees per Gender</t>
  </si>
  <si>
    <t>Category</t>
  </si>
  <si>
    <t>Vice-presidents</t>
  </si>
  <si>
    <t>Senior Management</t>
  </si>
  <si>
    <t>Management</t>
  </si>
  <si>
    <t>Superintendents and Heads of Areas</t>
  </si>
  <si>
    <t>Non-Management</t>
  </si>
  <si>
    <t>Percentage of Employees per Age Group</t>
  </si>
  <si>
    <t>Age under 30</t>
  </si>
  <si>
    <t>Age 30-50</t>
  </si>
  <si>
    <t>Age over 50</t>
  </si>
  <si>
    <t>Superintendents and Heads of Area</t>
  </si>
  <si>
    <t>Table 40. Ratio of basic salary and remuneration of women to men</t>
  </si>
  <si>
    <t>(GRI 405-2)</t>
  </si>
  <si>
    <t>Employee by category</t>
  </si>
  <si>
    <t>Ratio female/male average salary</t>
  </si>
  <si>
    <t>Vice-presidents (1)</t>
  </si>
  <si>
    <t>NA</t>
  </si>
  <si>
    <t>Senior management (1)</t>
  </si>
  <si>
    <t>Superintendent / Head of Area</t>
  </si>
  <si>
    <t>Note:
(1) No woman held a role within this employee category</t>
  </si>
  <si>
    <t>Table 41. Collective bargaining agreements</t>
  </si>
  <si>
    <t>(GRI 2-30, SASB EM-MM-310A.1)</t>
  </si>
  <si>
    <t># Employees Covered under Collective Bargaining Agreements (1)</t>
  </si>
  <si>
    <t>Percentage Covered</t>
  </si>
  <si>
    <t>Note:
(1) All employees covered under collective bargaining agreements are Nicaraguan and belong to either Limon or Libertad complex local payrolls. Employees not covered by collective agreements include those from the Managua, Pavon and EBP offices.</t>
  </si>
  <si>
    <t>Table 58. Sites where resettlement took place, the number of household resettled in each, and how their livelihoods were affected in the process</t>
  </si>
  <si>
    <t>(GRI Mining and Metals Sector Disclosure MM9)</t>
  </si>
  <si>
    <t>Communities resettled</t>
  </si>
  <si>
    <t>Cebadilla and Pozo 7</t>
  </si>
  <si>
    <t>Barrio Jabali</t>
  </si>
  <si>
    <t># households involved</t>
  </si>
  <si>
    <t># individuals involved</t>
  </si>
  <si>
    <t>Consultation process conducted</t>
  </si>
  <si>
    <t>All families were involved in all stages of the resettlement from early stages of the project</t>
  </si>
  <si>
    <t>Measures in place to re-establish affected community and mitigate impacts of relocation</t>
  </si>
  <si>
    <r>
      <t>-</t>
    </r>
    <r>
      <rPr>
        <sz val="7"/>
        <color rgb="FF36256E"/>
        <rFont val="Times New Roman"/>
        <family val="1"/>
      </rPr>
      <t xml:space="preserve">    </t>
    </r>
    <r>
      <rPr>
        <sz val="9"/>
        <color rgb="FF36256E"/>
        <rFont val="Calibri"/>
        <family val="2"/>
        <scheme val="minor"/>
      </rPr>
      <t xml:space="preserve">Compensation framework was developed for land areas, housing areas, external structures for non-housing use, trees and crops, and transfer of salvage or replacement material. 
-    A program was created to benefit vulnerable people. </t>
    </r>
  </si>
  <si>
    <t>Outcomes in terms of livelihoods, including land use</t>
  </si>
  <si>
    <r>
      <t>-</t>
    </r>
    <r>
      <rPr>
        <sz val="7"/>
        <color rgb="FF36256E"/>
        <rFont val="Times New Roman"/>
        <family val="1"/>
      </rPr>
      <t xml:space="preserve">    </t>
    </r>
    <r>
      <rPr>
        <sz val="9"/>
        <color rgb="FF36256E"/>
        <rFont val="Calibri"/>
        <family val="2"/>
        <scheme val="minor"/>
      </rPr>
      <t>Landowners who used the surrounding land for cattle grazing were financially compensated to acquire new plots of land for grazing. 
-    Vulnerable families were identified, and seed capital was provided to start a small business that would allow them to adapt to urbanization.</t>
    </r>
  </si>
  <si>
    <t>Vulnerable families were identified, and seed capital was provided to start a small business that would allow them to adapt to urbanization.</t>
  </si>
  <si>
    <t>Significant disputes related to resettlement</t>
  </si>
  <si>
    <t>No disputes arose during the process.</t>
  </si>
  <si>
    <t>Process employed to resolved outstanding issues</t>
  </si>
  <si>
    <t>No additional processes were required as no outstanding issues arose during the process</t>
  </si>
  <si>
    <t>Table 59. Proportion of population living in households with access to basic services*</t>
  </si>
  <si>
    <t>(SDG 1.4.1)</t>
  </si>
  <si>
    <t>Changes in Access to Basic Services</t>
  </si>
  <si>
    <t>Proportion of population living in households with access to basic services – baseline / before resettlement</t>
  </si>
  <si>
    <t>Proportion of population living in households with access to basic services – after resettlement</t>
  </si>
  <si>
    <t>Table 60. Proportion of total adult population with secure tenure rights to land, with legally recognized documentation and who perceive their rights to land as secure, by sex and by type of tenure*</t>
  </si>
  <si>
    <t>(SDG 1.4.2)</t>
  </si>
  <si>
    <t>Changes in Tenure Rights toLand</t>
  </si>
  <si>
    <t>Proportion of population with secure tenure to land – baseline / before resettlement</t>
  </si>
  <si>
    <t>Proportion of population with secure tenure to land – after resettlement</t>
  </si>
  <si>
    <t>Table 61. Proportion of urban population living in slums, informal settlements or inadequate housing*</t>
  </si>
  <si>
    <t>(SDG 11.1.1)</t>
  </si>
  <si>
    <t>Changes in Housing Conditions</t>
  </si>
  <si>
    <t>Proportion of population living in inadequate housing – baseline / before resettlement</t>
  </si>
  <si>
    <t>Proportion of population living in inadequate housing – after resettlement</t>
  </si>
  <si>
    <t>Table 62. Proportion of urban population using safely managed drinking water services*</t>
  </si>
  <si>
    <t>(SDG 6.1.1)</t>
  </si>
  <si>
    <t xml:space="preserve">Changes in Access to Water </t>
  </si>
  <si>
    <t>Proportion of population using safely managed drinking water services – baseline / before resettlement</t>
  </si>
  <si>
    <t>Proportion of population using safely managed drinking water services – after resettlement</t>
  </si>
  <si>
    <t>Table 63. Proportion of population using safely managed sanitation services*</t>
  </si>
  <si>
    <t>(SDG 6.2.1)</t>
  </si>
  <si>
    <t>Changes in Access to Sanitation</t>
  </si>
  <si>
    <t>Proportion of population using safely managed sanitation services – baseline / before resettlement</t>
  </si>
  <si>
    <t>Proportion of population using safely managed sanitation services – after resettlement</t>
  </si>
  <si>
    <t>Table 64. Proportion of population who believe decision-making is inclusive and responsive*</t>
  </si>
  <si>
    <t>(SDG 16.7.2)</t>
  </si>
  <si>
    <t>Perception on Resettlement Process Inclusiveness</t>
  </si>
  <si>
    <r>
      <t xml:space="preserve">Proportion of population </t>
    </r>
    <r>
      <rPr>
        <sz val="8"/>
        <color rgb="FF36256E"/>
        <rFont val="Calibri"/>
        <family val="2"/>
        <scheme val="minor"/>
      </rPr>
      <t>  </t>
    </r>
    <r>
      <rPr>
        <sz val="9"/>
        <color rgb="FF36256E"/>
        <rFont val="Calibri"/>
        <family val="2"/>
        <scheme val="minor"/>
      </rPr>
      <t>who believe Calibre’s decision-making is inclusive and responsive – baseline / before resettlement</t>
    </r>
  </si>
  <si>
    <t>Proportion of population Calibre’s decision-making is inclusive and responsive – after resettlement</t>
  </si>
  <si>
    <t>Note:
*Information on changes identified in this sub-section has been gathered through survey conducted by Calibre’s Community Relations and Resettlement teams as part our due diligence process and assessed against socio-economic baseline.</t>
  </si>
  <si>
    <t>Table 12. New suppliers that were screened using environmental &amp; social criteria</t>
  </si>
  <si>
    <t>(GRI 308-1, 414-1)</t>
  </si>
  <si>
    <t># New suppliers in 2021</t>
  </si>
  <si>
    <t># New suppliers screened in 2021 (1)</t>
  </si>
  <si>
    <t>% of Total</t>
  </si>
  <si>
    <t>Note:
(1) Suppliers were screened for negative news related to negative impacts on the environment, and abuses associated with human rights, such as child labor , forced labor, degrading treatment, torture and widespread sexual violence, support to armed groups, money extortion, corruption, bribery, money laundering, and tax evasion.</t>
  </si>
  <si>
    <t>Table 13. Security personnel trained in human rights policies or procedures</t>
  </si>
  <si>
    <t>(GRI 410-1)</t>
  </si>
  <si>
    <t># Security personnel at site(1)</t>
  </si>
  <si>
    <t># Security personnel who have received formal training</t>
  </si>
  <si>
    <t>% Security personnel trained</t>
  </si>
  <si>
    <t>Note:
(1) Refers to private security providers (contractors)</t>
  </si>
  <si>
    <t>Table 67. Direct economic value generated and distributed - Million USD</t>
  </si>
  <si>
    <t>(GRI 201-1)</t>
  </si>
  <si>
    <t>Year Reported</t>
  </si>
  <si>
    <t>Direct Economic Value Generated</t>
  </si>
  <si>
    <t>Economic Value Distributed</t>
  </si>
  <si>
    <t>Economic Value Retained</t>
  </si>
  <si>
    <t>(1/Jan - 31/Dec)</t>
  </si>
  <si>
    <t>Operating Costs</t>
  </si>
  <si>
    <t>Employee Wages and Benefits</t>
  </si>
  <si>
    <t>Capital Expenditures</t>
  </si>
  <si>
    <t>Payments to Providers of Capital</t>
  </si>
  <si>
    <t>Community Investments (1)</t>
  </si>
  <si>
    <t>Care and Maintenance Costs</t>
  </si>
  <si>
    <t>Exploration Costs</t>
  </si>
  <si>
    <t xml:space="preserve">Note:
(1) Community investments refers to voluntary donations plus investment of funds in the broader community where the target beneficiaries are external to the organization. Community investments exclude legal and commercial activities or where the purpose of the investment is exclusively commercial. Community investments also exclude any infrastructure investment that is driven primarily by core business needs, or to facilitate the business operations of an organization. </t>
  </si>
  <si>
    <t>Table 68. Ratios of standard entry level wage by gender compared to local minimum wage</t>
  </si>
  <si>
    <t>(GRI 202-1)</t>
  </si>
  <si>
    <t>Minimum wage - national average(1) (monthly basis, COR C$):</t>
  </si>
  <si>
    <t>Minimum wage - Mining and Quarry Sector(2) (monthly basis, COR C$):</t>
  </si>
  <si>
    <t>Average wage - national(1) (monthly basis, COR C$):</t>
  </si>
  <si>
    <t>Average wage - Mining and Quarry Sector(3) (monthly basis, COR C$):</t>
  </si>
  <si>
    <t>Entry level wage - Calibre(4) (monthly basis, COR C$):</t>
  </si>
  <si>
    <t>Average wage - Calibre(monthly basis, COR C$):</t>
  </si>
  <si>
    <t>Ratio of Calibre entry level wage to national minimum wage:</t>
  </si>
  <si>
    <t>Ratio of average Calibre wage to national average wage:</t>
  </si>
  <si>
    <t>Ratio of Calibre entry level wage to minimum wage for Mining and Quarry Sector:</t>
  </si>
  <si>
    <t>Ratio of average Calibre wage to average wage in the mining sector:</t>
  </si>
  <si>
    <t>Actions taken to determine whether contractors’ workers are paid above minimum wage:</t>
  </si>
  <si>
    <t>None to date.</t>
  </si>
  <si>
    <r>
      <t xml:space="preserve">Notes:
(1) National minimun and average wage for 2021 as per the Nicaraguan Central Bank: https://www.bcn.gob.ni/mercado-laboral </t>
    </r>
    <r>
      <rPr>
        <sz val="9"/>
        <color rgb="FF36256E"/>
        <rFont val="Times New Roman"/>
        <family val="1"/>
      </rPr>
      <t xml:space="preserve">
(2) </t>
    </r>
    <r>
      <rPr>
        <sz val="9"/>
        <color rgb="FF36256E"/>
        <rFont val="Calibri"/>
        <family val="2"/>
        <scheme val="minor"/>
      </rPr>
      <t>Minimum wage for Mining and Quarry Sector as established per the Ministry of Labor’s Minimum Salary Act of 25/Feb/2021: http://www.mitrab.gob.ni/bienvenido/documentos/acuerdos/ACTA%20No%201%20SALARIO%20MINIMO%202021.pdf
(3) Average wage for formal employment in Mining and Quarry as per data from the Nicaraguan Central Bank for 2021: https://www.bcn.gob.ni/mercado-laboral 
(4) As per Calibre’s lowest employee category (e.g., field assistants)</t>
    </r>
  </si>
  <si>
    <t>Table 69. Infrastructure investments and services supported</t>
  </si>
  <si>
    <t>(GRI 203-1)</t>
  </si>
  <si>
    <t>Infrastructure Investments</t>
  </si>
  <si>
    <t>Scope</t>
  </si>
  <si>
    <t xml:space="preserve"> Cost (2021 investment) </t>
  </si>
  <si>
    <t>Type</t>
  </si>
  <si>
    <t>Current or Expected Impacts on Communities and Local Economies</t>
  </si>
  <si>
    <t>Larreynaga, Leon</t>
  </si>
  <si>
    <t>Improvement and expansion of local potable water system in El Limon Mining District</t>
  </si>
  <si>
    <t>(i) Rehabilitation of two wells; (ii) Rehabilitation of 100,000 gallons tank; (iii) Installation of 100,000 gallons tank; (iv) Installation of 17km of pipelines for conduction, adduction and distribution lines.</t>
  </si>
  <si>
    <t>$ 994,976</t>
  </si>
  <si>
    <t>In-kind</t>
  </si>
  <si>
    <t>1-year construction phase (2021)</t>
  </si>
  <si>
    <t>6,681 people (2,228 houses) from 7 communities (El Limon, Santa Pancha, Minvah, San Juan Viejo, Quebrada Honda, Galilao, and El Paraiso):
'- Right to health, water &amp; sanitation through improved access to quality drinking water, ensuring 100% coverage of the mining district</t>
  </si>
  <si>
    <t xml:space="preserve">Expansion of local sewage system </t>
  </si>
  <si>
    <t>(i) Installation of 3.6km of pipelines for sanitary main collection network; (ii) construction of a sanitary treatment plant</t>
  </si>
  <si>
    <t>$ 462,544</t>
  </si>
  <si>
    <t> 1 year; 2021</t>
  </si>
  <si>
    <t>770 people (131 houses) from 2 communities (San Gil &amp; Nuevo Santa Pancha):
- Right to health, water &amp; sanitation through improved access to safely managed sanitation services</t>
  </si>
  <si>
    <t>Payment of electricity bill for El Limon Town</t>
  </si>
  <si>
    <t>Support to the electricity provision for El Limon</t>
  </si>
  <si>
    <t>$ 1,096,687</t>
  </si>
  <si>
    <t>5,066 people (1,613 houses) from El Limon Town:
- Right to adequate standard of living through ensured access to basic services</t>
  </si>
  <si>
    <t>Improvements in electricity service for El Limon Town</t>
  </si>
  <si>
    <t xml:space="preserve">Service support, repairs and maintenance of the electrical system. </t>
  </si>
  <si>
    <t xml:space="preserve"> $ 80,197 </t>
  </si>
  <si>
    <t>5,066 people (1,613 houses) from El Limon Town:
- Right to adequate standard of living through improved access to basic services</t>
  </si>
  <si>
    <t>San Gil Urbanization - Resettlement Project in El Limon Mining District</t>
  </si>
  <si>
    <t>(i) Construction of internal resettlement roads; (ii) Construction of 35 houses; (iii) Installation of water connections to water system and (iv) installation of home sewage connections</t>
  </si>
  <si>
    <t xml:space="preserve"> $ 2,483,928 </t>
  </si>
  <si>
    <t>2021-2022</t>
  </si>
  <si>
    <t xml:space="preserve">123 people (34 households):
-	Right to an adequate standard of living through improved, safe housing
-	Right to legally own property 
-	Right to health, through improved access to community infrastructure
-	Right to water &amp; sanitation
-	Right to liberty of movement through physical mobility </t>
  </si>
  <si>
    <t>Nuevo Santa Pancha Urbanization in El Limon Mining District</t>
  </si>
  <si>
    <t>(i) Installation of water connections to water system; (ii) installation of home sewage connections, and (iii) improvement of electric system</t>
  </si>
  <si>
    <t>$ 272,000</t>
  </si>
  <si>
    <t>8 months, 2021</t>
  </si>
  <si>
    <t>84 households:
'-	Right to adequate standard of living through improved access to basic services, water and sanitation</t>
  </si>
  <si>
    <t>Community rural road improvement in Las Brisas</t>
  </si>
  <si>
    <t xml:space="preserve">2km of road improvement </t>
  </si>
  <si>
    <t xml:space="preserve"> $ 50,000 </t>
  </si>
  <si>
    <t xml:space="preserve">400- 450 people from 4 communities, on right to liberty of movement, security &amp; access to public services through (i) Improved physical mobility, reducing insecurity due to isolation; (ii) improved usability of rural roads by local producers, potentially lowering transportation time and costs, and (iii) improved accessibility to basic infrastructure, social services, and economic opportunities </t>
  </si>
  <si>
    <t>Community rural road maintenance in Yaosca Las Victorias</t>
  </si>
  <si>
    <t>3km of road maintenance</t>
  </si>
  <si>
    <t xml:space="preserve"> $ 27,835 </t>
  </si>
  <si>
    <t xml:space="preserve">400 people from 5 communities on right to liberty of movement, security &amp; access to public services through (i) Improved physical mobility, reducing insecurity due to isolation; (ii) improved usability of rural roads by local producers, potentially lowering transportation time and costs, and (iii) improved accessibility to basic infrastructure, social services, markets and job and economic opportunities </t>
  </si>
  <si>
    <t>Infrastructure improvement to 3 local schools</t>
  </si>
  <si>
    <r>
      <t>1.</t>
    </r>
    <r>
      <rPr>
        <i/>
        <sz val="9"/>
        <color rgb="FF36256E"/>
        <rFont val="Calibri"/>
        <family val="2"/>
        <scheme val="minor"/>
      </rPr>
      <t xml:space="preserve"> Escuela 12 Septiembre</t>
    </r>
    <r>
      <rPr>
        <sz val="9"/>
        <color rgb="FF36256E"/>
        <rFont val="Calibri"/>
        <family val="2"/>
        <scheme val="minor"/>
      </rPr>
      <t>: Repair of electrical system, improved kitchen &amp; waste dump.
2. Escuela José Martí: Improved bathrooms and septic tank.
3. Escuela San Antonio: Rehabilitation of toilet treatment system</t>
    </r>
  </si>
  <si>
    <t xml:space="preserve"> $ 6,132 </t>
  </si>
  <si>
    <t>586 students from 3 communities (Yaosca Central, Las Brisas Central, and San Antonio de Kuskawas):
- Right to education through improved school facilities &amp; basic services
- Right to health through improved access to quality drinking water and sanitation system</t>
  </si>
  <si>
    <t>Rosita, RAACN</t>
  </si>
  <si>
    <t>Community rural road improvement in Riscos de Oro</t>
  </si>
  <si>
    <t>8km of road maintenance</t>
  </si>
  <si>
    <t xml:space="preserve"> $ 4,817 </t>
  </si>
  <si>
    <t xml:space="preserve">Approx. 567 people from Riscos de Oro:
- Right to liberty of movement, security &amp; access to public services through ensured physical mobility, usability of rural roads, accessibility to basic infrastructure, social services, markets and job and economic opportunities </t>
  </si>
  <si>
    <t>Note: 
"Significant" investments or services defined as those producing a positive change on local communities' human rights, however modest the amount of the investment.</t>
  </si>
  <si>
    <t>Table 70. Significant indirect economic impacts</t>
  </si>
  <si>
    <t>(GRI 203-2)</t>
  </si>
  <si>
    <t>Significance of the Impacts in the Context of External Benchmark and Stakeholder Priorities</t>
  </si>
  <si>
    <t>Contribution to Nicaragua's macroeconomy</t>
  </si>
  <si>
    <t>Stimulation of foreign direct investment</t>
  </si>
  <si>
    <t>- According to Nicaragua's Central Bank, of the total gross inflows, net FDI inflows by Q3 2021 were US$ 888.1 million, i.e. 1.4 times more than the US$ 375.5 million captured as of Q3 2020. The economic sector with the highest inflow was Energy and Mines with US$ 401.8 million (US$ 173.1 million as of Q3 2020). Calibre contributed with $15 million the sector’s FDI during that period.</t>
  </si>
  <si>
    <t>Improved multi-dimensional poverty index in mining families</t>
  </si>
  <si>
    <r>
      <t>-</t>
    </r>
    <r>
      <rPr>
        <sz val="7"/>
        <color rgb="FF36256E"/>
        <rFont val="Times New Roman"/>
        <family val="1"/>
      </rPr>
      <t xml:space="preserve"> </t>
    </r>
    <r>
      <rPr>
        <sz val="9"/>
        <color rgb="FF36256E"/>
        <rFont val="Calibri"/>
        <family val="2"/>
        <scheme val="minor"/>
      </rPr>
      <t>As our operations occur in remote and impoverished areas with little infrastructure or alternative economic activity, gold mining supports local economies and provides associated social benefits.
- The mining sector in Nicaragua provides the second highest average salaries (COR C$17,237) only after the financial sector (COR C$18,009) (1). Ratio of average Calibre wage for 2021 (COR C$38,800.65 to average wage in the mining sector in Nicaragua is 2.25.
- An independent study conducted by FUNIDES in 2016 (http://caminic.com/estudios/) established that Nicaraguan mining families almost doubled the household incomes of non-mining families, directly contributing to a significant reduction of the region's multi-dimensional poverty index.</t>
    </r>
  </si>
  <si>
    <t># of jobs supported in the supply chain as a result of the organization’s growth</t>
  </si>
  <si>
    <r>
      <t>-</t>
    </r>
    <r>
      <rPr>
        <sz val="7"/>
        <color rgb="FF36256E"/>
        <rFont val="Times New Roman"/>
        <family val="1"/>
      </rPr>
      <t xml:space="preserve"> </t>
    </r>
    <r>
      <rPr>
        <sz val="9"/>
        <color rgb="FF36256E"/>
        <rFont val="Calibri"/>
        <family val="2"/>
        <scheme val="minor"/>
      </rPr>
      <t>Because we tend to work in remote areas, we are usually the locality’s main source of employment.
- In 2021, we directly employed 1,193 people and supported a further 2,209 jobs through contracts. These jobs induced approximately 5,550 additional jobs in host country economy. In other words, every job in the gold mining industry supports two more. 
- We have a strong focus on local hiring, leading to demonstrable results - Nicaraguans make up 96% of our employees, out of which 81% are local.</t>
    </r>
  </si>
  <si>
    <t>Economic impacts from the use of national and local services</t>
  </si>
  <si>
    <t>- A large portion of value created through our activities stays in country: for every dollar of gold production, approximately 63 cents goes to salaries, taxes or income for local business owners in the host country.
In 2021, over USD$50 million were spent on national suppliers</t>
  </si>
  <si>
    <t>Note: 
(1)Nicaraguan Central Bank. Average formal employment salary by economic activity for year 2021. Link: https://www.bcn.gob.ni/mercado-laboral</t>
  </si>
  <si>
    <t>Table 71. Proportion of spending on local suppliers</t>
  </si>
  <si>
    <t>(GRI 204-1, LPRM 302)</t>
  </si>
  <si>
    <t>Total Procurement Spent</t>
  </si>
  <si>
    <t>Procurement Spent on International Suppliers</t>
  </si>
  <si>
    <t>Procurement Spent on National, Non-local (1) Suppliers</t>
  </si>
  <si>
    <t>Procurement Spent on National,  Local (2) Suppliers</t>
  </si>
  <si>
    <t>% of Procurement Spent on Local Suppliers</t>
  </si>
  <si>
    <r>
      <t>% of Procurement Spent on National  (local and non-local) Suppliers</t>
    </r>
    <r>
      <rPr>
        <sz val="8"/>
        <color theme="0"/>
        <rFont val="Calibri"/>
        <family val="2"/>
        <scheme val="minor"/>
      </rPr>
      <t> </t>
    </r>
  </si>
  <si>
    <t xml:space="preserve"> $  121,174,430 </t>
  </si>
  <si>
    <t xml:space="preserve"> $  69,275,421 </t>
  </si>
  <si>
    <t xml:space="preserve"> $  49,268,050 </t>
  </si>
  <si>
    <t xml:space="preserve"> $   2,630,958 </t>
  </si>
  <si>
    <t>Notes:
Mine site categorizes suppliers based on geographic location (proximity to site):
(1) National, non-local defines as Nicaraguan people or suppliers not from communities adjacent or near our operations
(2) Local defined as people or suppliers from communities adjacent or near to our operations</t>
  </si>
  <si>
    <t>(GRI 303-5)</t>
  </si>
  <si>
    <t>2020</t>
  </si>
  <si>
    <t>2021</t>
  </si>
  <si>
    <t>(GRI MM3; &amp; SASB EM-MM-150a.1; EM-MM-150a.2; EM-MM-150a.5; EM-MM-150a.6)</t>
  </si>
  <si>
    <t>Tailings and waste rock management, in metric tonnes (t)</t>
  </si>
  <si>
    <t>Tailings</t>
  </si>
  <si>
    <t>Waste rock generated (1)</t>
  </si>
  <si>
    <t>Total waste</t>
  </si>
  <si>
    <t>Generated</t>
  </si>
  <si>
    <t>Waste intensity (tonnes of waste generated per ounce of gold produced)</t>
  </si>
  <si>
    <t>Diverted from disposal</t>
  </si>
  <si>
    <t>Directed to disposal</t>
  </si>
  <si>
    <t>% Recycled</t>
  </si>
  <si>
    <t xml:space="preserve">N/D </t>
  </si>
  <si>
    <t>Note:
(1) No acid-generating or metal leaching waste rock generated at Calibre sites in 2020 or 2021.</t>
  </si>
  <si>
    <t>Table 21. Waste generated</t>
  </si>
  <si>
    <t>(GRI 306-3; SASB EM-MM-150A.7; &amp; SDG 12.4.2)</t>
  </si>
  <si>
    <t>Waste composition, in metric tonnes (t)</t>
  </si>
  <si>
    <t>Hazardous</t>
  </si>
  <si>
    <t>Non-hazardous</t>
  </si>
  <si>
    <t>Note: 
New indicator, no data available for 2020.</t>
  </si>
  <si>
    <t>Table 22. Waste diverted from disposal</t>
  </si>
  <si>
    <t>(GRI 306-4, SASB EM-MM-150A.8)</t>
  </si>
  <si>
    <t>2021 Non-mineral waste diverted from disposal by recovery operation in metric tonnes (t)</t>
  </si>
  <si>
    <t>Onsite</t>
  </si>
  <si>
    <t>Offsite</t>
  </si>
  <si>
    <t>Hazardous waste</t>
  </si>
  <si>
    <t>Preparation for reuse</t>
  </si>
  <si>
    <t>Recycling</t>
  </si>
  <si>
    <t>Other recovery operations</t>
  </si>
  <si>
    <t>Non-hazardous waste</t>
  </si>
  <si>
    <t>Waste prevented</t>
  </si>
  <si>
    <t>Table 23. Waste directed to disposal</t>
  </si>
  <si>
    <t>(GRI 306-5)</t>
  </si>
  <si>
    <t>2021 non-mineral waste directed to disposal, by disposal operation in metric tonnes (t)</t>
  </si>
  <si>
    <t>Incineration (with energy recovery)</t>
  </si>
  <si>
    <t>Incineration (without energy recovery)</t>
  </si>
  <si>
    <t>Landfilling</t>
  </si>
  <si>
    <t>Other disposal operations</t>
  </si>
  <si>
    <t>Table 24. Total weight of non-mineral waste generated, in metric tonnes (T)</t>
  </si>
  <si>
    <t>(SASB EM-MM-150A.4)</t>
  </si>
  <si>
    <t>Scrap metal</t>
  </si>
  <si>
    <t>Reject Coal</t>
  </si>
  <si>
    <t>Used Oil</t>
  </si>
  <si>
    <t>Tires</t>
  </si>
  <si>
    <t>Batteries</t>
  </si>
  <si>
    <t>Other Solid Wastes</t>
  </si>
  <si>
    <t>Table 25. Tailings storage facility inventory table</t>
  </si>
  <si>
    <t>(SASB EM-MM-150A.1)</t>
  </si>
  <si>
    <t>(a) Facility name</t>
  </si>
  <si>
    <t>(b) Location</t>
  </si>
  <si>
    <t>(c) Ownership Status</t>
  </si>
  <si>
    <t>(d) Operational Status</t>
  </si>
  <si>
    <t>(e) Construction Method</t>
  </si>
  <si>
    <t>(f) Maximum Permitted Storage Capacity (t)</t>
  </si>
  <si>
    <t>(g) Current Amount of Tailings Stored</t>
  </si>
  <si>
    <t>(h) Consequence Classification</t>
  </si>
  <si>
    <t>(i) Date of Most Recent Independent Technical Review</t>
  </si>
  <si>
    <t>(j) Material Findings</t>
  </si>
  <si>
    <t>(k) Mitigation Measures</t>
  </si>
  <si>
    <t>(l) Site-specific EPRP</t>
  </si>
  <si>
    <t>La Esperanza</t>
  </si>
  <si>
    <t>La Libertad, Chontales, Nicaragua</t>
  </si>
  <si>
    <t>Operator</t>
  </si>
  <si>
    <t>Active</t>
  </si>
  <si>
    <t>Downstream</t>
  </si>
  <si>
    <t> 20,000,000</t>
  </si>
  <si>
    <t>18,000,000 </t>
  </si>
  <si>
    <t>Low</t>
  </si>
  <si>
    <t xml:space="preserve">San Jose </t>
  </si>
  <si>
    <t>Mina El Limon, Larreynaga, Nicaragua</t>
  </si>
  <si>
    <t>jan-22</t>
  </si>
  <si>
    <t>Table 26. Number of tailings impoundments, broken down by MSHA hazard potential</t>
  </si>
  <si>
    <t>(SASB EM-MM-150A.3)</t>
  </si>
  <si>
    <t># TSF with High Hazard Potential</t>
  </si>
  <si>
    <t># TSF with Significant Hazard Potential</t>
  </si>
  <si>
    <t># TSF with Low Hazard Potential</t>
  </si>
  <si>
    <t>Total of Tailing Impoundments</t>
  </si>
  <si>
    <t xml:space="preserve">Table 15. Potential risks to water sources </t>
  </si>
  <si>
    <t>Climate conditions (1)</t>
  </si>
  <si>
    <t>Water sources (2)</t>
  </si>
  <si>
    <t>Water stress</t>
  </si>
  <si>
    <t>Water quality</t>
  </si>
  <si>
    <t>Excess water</t>
  </si>
  <si>
    <t>Watershed challenges</t>
  </si>
  <si>
    <t>Libertad Mine &amp; Mill</t>
  </si>
  <si>
    <t>Moderate precipitation with a distinct dry season</t>
  </si>
  <si>
    <t>GW, SWW, MW</t>
  </si>
  <si>
    <t>Yes. Potential contamination from tailing slurries if TSF dam collapses.</t>
  </si>
  <si>
    <t>Limon Mine &amp; Mill</t>
  </si>
  <si>
    <t xml:space="preserve">Moderate precipitation </t>
  </si>
  <si>
    <t>Notes:
(1)      Humid, Semi-arid, Arid, Moderate precipitation, Low to moderate precipitation, Moderate precipitation with a distinct dry season.
(2)      Groundwater (GW), Surface Water (SW), Municipal/Third-party Water (MW).
(3)      Nicaragua does not have water stress areas.</t>
  </si>
  <si>
    <t>Table 16. Water withdrawal by source (ML)</t>
  </si>
  <si>
    <t>(GRI 303-3)</t>
  </si>
  <si>
    <t xml:space="preserve">AREAS WITH WATER STRESS (8) </t>
  </si>
  <si>
    <t>Water withdrawal (1) by source (ML)</t>
  </si>
  <si>
    <t>Surface water (total) (2)</t>
  </si>
  <si>
    <t>Freshwater (3)</t>
  </si>
  <si>
    <t>Other water</t>
  </si>
  <si>
    <t>Groundwater (total) (4)</t>
  </si>
  <si>
    <t>Freshwater</t>
  </si>
  <si>
    <t>Seawater (total) (5)</t>
  </si>
  <si>
    <t>Produced water (total) (6)</t>
  </si>
  <si>
    <t>Total third-party water (7)</t>
  </si>
  <si>
    <t>Surface water</t>
  </si>
  <si>
    <t xml:space="preserve">Groundwater  </t>
  </si>
  <si>
    <t xml:space="preserve">Seawater  </t>
  </si>
  <si>
    <t xml:space="preserve">Produced water  </t>
  </si>
  <si>
    <t>Total water withdrawn</t>
  </si>
  <si>
    <t>Surface water (total) + groundwater (total) + seawater (total) + produced water (total) + third-party water (total)</t>
  </si>
  <si>
    <t>Notes:
EBP has started reporting water data, and therefore included in 2021 disclosures.
(1) Sum of all water drawn from surface water, groundwater, seawater, or a third party for any use over the course of the reporting period
(2) Water that occurs naturally on the Earth’s surface in ice sheets, ice caps, glaciers, icebergs, bogs, ponds, lakes, rivers, and streams. Includes collected or harvested rainwater
(3) Water with concentration of total dissolved solids equal to or below 1,000 mg/L
(4) Water that is being held in, and that can be recovered from, an underground formation
(5) Water in a sea or in an ocean
(6) Water that enters an organization’s boundary as a result of extraction (e.g., crude oil), processing (e.g., sugar cane crushing), or use of any raw material, and has to consequently be managed by the organization
(7) Municipal water suppliers and municipal wastewater treatment plants, public or private utilities, and other organizations involved in the provision, transport, treatment, disposal, or use of water and effluent
(8) Publicly available and credible tools for assessing areas with water stress include the World Resources Institute ‘Aqueduct Water Risk Atlas,’ (https://www.wri.org/initiatives/aqueduct) and the WWF ‘Water Risk Filter’.</t>
  </si>
  <si>
    <t>Table 17. Water discharge (ML)</t>
  </si>
  <si>
    <t>(GRI 303-4)</t>
  </si>
  <si>
    <t>Water discharge (1) by destination</t>
  </si>
  <si>
    <t>Surface water (4)</t>
  </si>
  <si>
    <t>Groundwater (5)</t>
  </si>
  <si>
    <t>Seawater (6)</t>
  </si>
  <si>
    <t>Third-party water (7) (total)</t>
  </si>
  <si>
    <t>Third-party water sent for use to other organizations</t>
  </si>
  <si>
    <t>Total water discharge</t>
  </si>
  <si>
    <t>Surface water + groundwater + seawater + third-party water (total)</t>
  </si>
  <si>
    <t>Water discharge by freshwater (2) and other water</t>
  </si>
  <si>
    <t>Water discharge by level of treatment (3)</t>
  </si>
  <si>
    <t>No treatment</t>
  </si>
  <si>
    <t>Primary treatment: Primary treatment, which aims to remove solid
substances that settle or float on the water surface</t>
  </si>
  <si>
    <t>Secondary treatment: aims to remove substances and materials that have remained in the water, or are dissolved or suspended in it</t>
  </si>
  <si>
    <t>Tertiary treatment:  aims to upgrade water to a higher level of quality before it is discharged. It includes processes that remove, for example, heavy metals, nitrogen, and phosphorus (eg reverse osmosis and acid water treatment)</t>
  </si>
  <si>
    <t>Notes:
EBP has started reporting water data, and therefore included in 2021 disclosures.
Our Limon Complex discharges into watershed 58 of the Tecomapa River and our Libertad Complex to watershed 61 of the Escondido River.
(1) sum of effluents, used water, and unused water released to surface water, groundwater, seawater, or a third party, for which the organization has no further use, over the course of the reporting period
(2) water with concentration of total dissolved solids equal to or below 1,000 mg/L
(3) Water quality categories based on the Water Accounting Framework (WAF)
(4) water that occurs naturally on the Earth’s surface in ice sheets, ice caps, glaciers, icebergs, bogs, ponds, lakes, rivers, and streams
(5) water that is being held in, and that can be recovered from, an underground formation
(6) water in a sea or in an ocean
(7) municipal water suppliers and municipal wastewater treatment plants, public or private utilities, and other organizations involved in the provision, transport, treatment, disposal, or use of water and effluent</t>
  </si>
  <si>
    <t>Table 18. Water consumption (ML)</t>
  </si>
  <si>
    <t>Water consumption</t>
  </si>
  <si>
    <t>Limon Complex2</t>
  </si>
  <si>
    <t>Libertad Complex3</t>
  </si>
  <si>
    <t>Total2</t>
  </si>
  <si>
    <t>Total water consumption (1)</t>
  </si>
  <si>
    <t>Change in water storage (2), if water storage has been identified as having a significant water-related impact</t>
  </si>
  <si>
    <t>Total water recycled (3)</t>
  </si>
  <si>
    <t>Total water used (4)
(consumed plus recycled)</t>
  </si>
  <si>
    <t>Percent recycled
(water recycled divided by water used)</t>
  </si>
  <si>
    <t>Notes:
EBP has started reporting water data, and therefore included in 2021 disclosures.
(1) sum of all water that has been withdrawn and incorporated into products, used in the production of crops or generated as waste, has evaporated, transpired, or been consumed by humans or livestock, or is polluted to the point of being unusable by other users, and is therefore not released back to surface water, groundwater, seawater, or a third party over the course of the reporting period.  Water consumption includes water that has been stored during the reporting period for use or discharge in a subsequent reporting period. This definition is based on CDP Water Security Reporting Guidance, 2018.
(2) water held in water storage facilities or reservoirs.
(3) Water recycled is defined as water reused within the site for operational use.
(4) In our 2020 report, water used was defined as water used in the processing of ore.</t>
  </si>
  <si>
    <t/>
  </si>
  <si>
    <t xml:space="preserve">Table 19. Cyanide use (thousand metric tonnes) </t>
  </si>
  <si>
    <t>Table 20. Total amounts of overburden, rock, tailings, and sludges</t>
  </si>
  <si>
    <t>Taxes and royalties</t>
  </si>
  <si>
    <t>Taxes and Royalties</t>
  </si>
  <si>
    <r>
      <t>-</t>
    </r>
    <r>
      <rPr>
        <sz val="7"/>
        <color rgb="FF36256E"/>
        <rFont val="Times New Roman"/>
        <family val="1"/>
      </rPr>
      <t xml:space="preserve"> </t>
    </r>
    <r>
      <rPr>
        <sz val="9"/>
        <color rgb="FF36256E"/>
        <rFont val="Calibri"/>
        <family val="2"/>
        <scheme val="minor"/>
      </rPr>
      <t>In 2021, Calibre's direct economic value distributed (US$ 286M), represented 2% of Nicaragua's GDP (USD$ 14,013M according to Nicaragua's Central Bank).
- 511,182oz gold exported in 2021, Calibre responsible for 36% (182,755oz), amounting for USD$867.6 million in exports, ensuring gold’s position as #1 export product for the second time in a row, and Calibre as one of the main exporting companies in the country, supporting the national economic transformation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</si>
</sst>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C$&quot;#,##0;[Red]\-&quot;C$&quot;#,##0"/>
    <numFmt numFmtId="164" formatCode="0.0"/>
  </numFmts>
  <fonts count="39">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9"/>
      <color theme="0"/>
      <name val="Calibri"/>
      <family val="2"/>
      <scheme val="minor"/>
    </font>
    <font>
      <b/>
      <sz val="9"/>
      <color rgb="FFFFFFFF"/>
      <name val="Calibri"/>
      <family val="2"/>
      <scheme val="minor"/>
    </font>
    <font>
      <sz val="11"/>
      <color theme="9" tint="-0.499984740745262"/>
      <name val="Calibri"/>
      <family val="2"/>
      <scheme val="minor"/>
    </font>
    <font>
      <sz val="9"/>
      <color theme="0"/>
      <name val="Calibri"/>
      <family val="2"/>
      <scheme val="minor"/>
    </font>
    <font>
      <u/>
      <sz val="11"/>
      <color theme="10"/>
      <name val="Calibri"/>
      <family val="2"/>
      <scheme val="minor"/>
    </font>
    <font>
      <i/>
      <sz val="10"/>
      <color theme="7"/>
      <name val="Calibri"/>
      <family val="2"/>
      <scheme val="minor"/>
    </font>
    <font>
      <sz val="9"/>
      <color theme="7"/>
      <name val="Calibri"/>
      <family val="2"/>
      <scheme val="minor"/>
    </font>
    <font>
      <b/>
      <sz val="9"/>
      <color theme="7"/>
      <name val="Calibri"/>
      <family val="2"/>
      <scheme val="minor"/>
    </font>
    <font>
      <sz val="8"/>
      <color theme="0"/>
      <name val="Calibri"/>
      <family val="2"/>
      <scheme val="minor"/>
    </font>
    <font>
      <b/>
      <sz val="13"/>
      <color theme="3"/>
      <name val="Calibri"/>
      <family val="2"/>
      <scheme val="minor"/>
    </font>
    <font>
      <sz val="8"/>
      <name val="Calibri"/>
      <family val="2"/>
      <scheme val="minor"/>
    </font>
    <font>
      <b/>
      <sz val="15"/>
      <color rgb="FF36256E"/>
      <name val="Calibri"/>
      <family val="2"/>
      <scheme val="minor"/>
    </font>
    <font>
      <sz val="11"/>
      <color rgb="FF36256E"/>
      <name val="Calibri"/>
      <family val="2"/>
      <scheme val="minor"/>
    </font>
    <font>
      <sz val="9"/>
      <color rgb="FF36256E"/>
      <name val="Calibri"/>
      <family val="2"/>
      <scheme val="minor"/>
    </font>
    <font>
      <b/>
      <sz val="13"/>
      <color rgb="FF36256E"/>
      <name val="Calibri"/>
      <family val="2"/>
      <scheme val="minor"/>
    </font>
    <font>
      <b/>
      <sz val="9"/>
      <color rgb="FF36256E"/>
      <name val="Calibri"/>
      <family val="2"/>
      <scheme val="minor"/>
    </font>
    <font>
      <b/>
      <sz val="11"/>
      <color rgb="FF36256E"/>
      <name val="Calibri"/>
      <family val="2"/>
      <scheme val="minor"/>
    </font>
    <font>
      <u/>
      <sz val="9"/>
      <color rgb="FF36256E"/>
      <name val="Calibri"/>
      <family val="2"/>
      <scheme val="minor"/>
    </font>
    <font>
      <sz val="7"/>
      <color rgb="FF36256E"/>
      <name val="Times New Roman"/>
      <family val="1"/>
    </font>
    <font>
      <sz val="8"/>
      <color rgb="FF36256E"/>
      <name val="Calibri"/>
      <family val="2"/>
      <scheme val="minor"/>
    </font>
    <font>
      <sz val="9"/>
      <color rgb="FF36256E"/>
      <name val="Calibri"/>
      <family val="2"/>
    </font>
    <font>
      <b/>
      <sz val="9"/>
      <color rgb="FF36256E"/>
      <name val="Calibri"/>
      <family val="2"/>
    </font>
    <font>
      <sz val="9"/>
      <color rgb="FF36256E"/>
      <name val="Times New Roman"/>
      <family val="1"/>
    </font>
    <font>
      <sz val="10"/>
      <color rgb="FF36256E"/>
      <name val="Calibri"/>
      <family val="2"/>
      <scheme val="minor"/>
    </font>
    <font>
      <i/>
      <sz val="9"/>
      <color rgb="FF36256E"/>
      <name val="Calibri"/>
      <family val="2"/>
      <scheme val="minor"/>
    </font>
    <font>
      <u/>
      <sz val="11"/>
      <color rgb="FF36256E"/>
      <name val="Calibri"/>
      <family val="2"/>
      <scheme val="minor"/>
    </font>
    <font>
      <b/>
      <sz val="15"/>
      <color rgb="FF36256E"/>
      <name val="Calibri (Cuerpo)"/>
    </font>
    <font>
      <sz val="11"/>
      <color rgb="FF36256E"/>
      <name val="Calibri (Cuerpo)"/>
    </font>
    <font>
      <b/>
      <sz val="11"/>
      <color rgb="FF36256E"/>
      <name val="Calibri (Cuerpo)"/>
    </font>
    <font>
      <b/>
      <sz val="9"/>
      <color rgb="FF36256E"/>
      <name val="Calibri (Cuerpo)"/>
    </font>
    <font>
      <sz val="9"/>
      <color rgb="FF36256E"/>
      <name val="Calibri (Cuerpo)"/>
    </font>
    <font>
      <b/>
      <sz val="16"/>
      <color rgb="FF36256E"/>
      <name val="Calibri"/>
      <family val="2"/>
      <scheme val="minor"/>
    </font>
  </fonts>
  <fills count="14">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theme="9"/>
        <bgColor rgb="FF000000"/>
      </patternFill>
    </fill>
    <fill>
      <patternFill patternType="solid">
        <fgColor rgb="FF36246E"/>
        <bgColor indexed="64"/>
      </patternFill>
    </fill>
    <fill>
      <patternFill patternType="solid">
        <fgColor rgb="FF36246E"/>
        <bgColor theme="7"/>
      </patternFill>
    </fill>
    <fill>
      <patternFill patternType="solid">
        <fgColor rgb="FF36246E"/>
        <bgColor rgb="FF000000"/>
      </patternFill>
    </fill>
    <fill>
      <patternFill patternType="solid">
        <fgColor rgb="FF36256E"/>
        <bgColor indexed="64"/>
      </patternFill>
    </fill>
    <fill>
      <patternFill patternType="solid">
        <fgColor rgb="FF36256E"/>
        <bgColor theme="7"/>
      </patternFill>
    </fill>
  </fills>
  <borders count="33">
    <border>
      <left/>
      <right/>
      <top/>
      <bottom/>
      <diagonal/>
    </border>
    <border>
      <left/>
      <right/>
      <top/>
      <bottom style="thick">
        <color theme="4"/>
      </bottom>
      <diagonal/>
    </border>
    <border>
      <left/>
      <right/>
      <top style="thin">
        <color theme="7"/>
      </top>
      <bottom/>
      <diagonal/>
    </border>
    <border>
      <left/>
      <right/>
      <top/>
      <bottom style="thin">
        <color theme="7"/>
      </bottom>
      <diagonal/>
    </border>
    <border>
      <left style="thin">
        <color theme="7"/>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bottom/>
      <diagonal/>
    </border>
    <border>
      <left/>
      <right style="thin">
        <color theme="7"/>
      </right>
      <top/>
      <bottom/>
      <diagonal/>
    </border>
    <border>
      <left style="thin">
        <color theme="7"/>
      </left>
      <right style="thin">
        <color theme="7"/>
      </right>
      <top style="thin">
        <color theme="7"/>
      </top>
      <bottom style="double">
        <color theme="7"/>
      </bottom>
      <diagonal/>
    </border>
    <border>
      <left/>
      <right/>
      <top/>
      <bottom style="thick">
        <color theme="4" tint="0.499984740745262"/>
      </bottom>
      <diagonal/>
    </border>
    <border>
      <left/>
      <right/>
      <top style="thin">
        <color theme="4"/>
      </top>
      <bottom style="double">
        <color theme="4"/>
      </bottom>
      <diagonal/>
    </border>
    <border>
      <left style="thin">
        <color theme="7"/>
      </left>
      <right style="thin">
        <color theme="7"/>
      </right>
      <top style="double">
        <color theme="7"/>
      </top>
      <bottom style="thin">
        <color theme="7"/>
      </bottom>
      <diagonal/>
    </border>
    <border>
      <left/>
      <right/>
      <top style="double">
        <color theme="4"/>
      </top>
      <bottom/>
      <diagonal/>
    </border>
    <border>
      <left/>
      <right/>
      <top/>
      <bottom style="thin">
        <color theme="0"/>
      </bottom>
      <diagonal/>
    </border>
    <border>
      <left/>
      <right/>
      <top style="thick">
        <color rgb="FF36256E"/>
      </top>
      <bottom/>
      <diagonal/>
    </border>
    <border>
      <left/>
      <right/>
      <top/>
      <bottom style="thick">
        <color rgb="FF36256E"/>
      </bottom>
      <diagonal/>
    </border>
    <border>
      <left/>
      <right/>
      <top style="thin">
        <color rgb="FF36256E"/>
      </top>
      <bottom/>
      <diagonal/>
    </border>
    <border>
      <left/>
      <right/>
      <top style="thin">
        <color rgb="FF36256E"/>
      </top>
      <bottom style="thin">
        <color rgb="FF36256E"/>
      </bottom>
      <diagonal/>
    </border>
    <border>
      <left style="thin">
        <color rgb="FF36256E"/>
      </left>
      <right/>
      <top style="thin">
        <color rgb="FF36256E"/>
      </top>
      <bottom/>
      <diagonal/>
    </border>
    <border>
      <left/>
      <right style="thin">
        <color rgb="FF36256E"/>
      </right>
      <top style="thin">
        <color rgb="FF36256E"/>
      </top>
      <bottom/>
      <diagonal/>
    </border>
    <border>
      <left style="thin">
        <color rgb="FF36256E"/>
      </left>
      <right/>
      <top/>
      <bottom/>
      <diagonal/>
    </border>
    <border>
      <left/>
      <right style="thin">
        <color rgb="FF36256E"/>
      </right>
      <top/>
      <bottom/>
      <diagonal/>
    </border>
    <border>
      <left style="thin">
        <color rgb="FF36256E"/>
      </left>
      <right/>
      <top style="thin">
        <color rgb="FF36256E"/>
      </top>
      <bottom style="thin">
        <color rgb="FF36256E"/>
      </bottom>
      <diagonal/>
    </border>
    <border>
      <left/>
      <right style="thin">
        <color rgb="FF36256E"/>
      </right>
      <top/>
      <bottom style="thin">
        <color rgb="FF36256E"/>
      </bottom>
      <diagonal/>
    </border>
    <border>
      <left/>
      <right/>
      <top/>
      <bottom style="medium">
        <color rgb="FF36256E"/>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11" fillId="0" borderId="0" applyNumberFormat="0" applyFill="0" applyBorder="0" applyAlignment="0" applyProtection="0"/>
    <xf numFmtId="0" fontId="16" fillId="0" borderId="17" applyNumberFormat="0" applyFill="0" applyAlignment="0" applyProtection="0"/>
    <xf numFmtId="0" fontId="4" fillId="0" borderId="18" applyNumberFormat="0" applyFill="0" applyAlignment="0" applyProtection="0"/>
  </cellStyleXfs>
  <cellXfs count="476">
    <xf numFmtId="0" fontId="0" fillId="0" borderId="0" xfId="0"/>
    <xf numFmtId="0" fontId="0" fillId="0" borderId="0" xfId="0" applyAlignment="1">
      <alignment wrapText="1"/>
    </xf>
    <xf numFmtId="0" fontId="5" fillId="0" borderId="0" xfId="0" applyFont="1"/>
    <xf numFmtId="0" fontId="6" fillId="0" borderId="0" xfId="0" applyFont="1" applyAlignment="1">
      <alignment vertical="center"/>
    </xf>
    <xf numFmtId="0" fontId="9" fillId="0" borderId="0" xfId="0" applyFont="1"/>
    <xf numFmtId="0" fontId="13" fillId="0" borderId="0" xfId="0" applyFont="1"/>
    <xf numFmtId="0" fontId="3" fillId="0" borderId="0" xfId="3"/>
    <xf numFmtId="0" fontId="13" fillId="0" borderId="0" xfId="0" applyFont="1" applyAlignment="1">
      <alignment vertical="top"/>
    </xf>
    <xf numFmtId="0" fontId="0" fillId="0" borderId="0" xfId="0" applyAlignment="1">
      <alignment horizontal="left"/>
    </xf>
    <xf numFmtId="0" fontId="5" fillId="0" borderId="0" xfId="0" applyFont="1" applyAlignment="1">
      <alignment horizontal="left"/>
    </xf>
    <xf numFmtId="0" fontId="19" fillId="0" borderId="0" xfId="0" applyFont="1"/>
    <xf numFmtId="0" fontId="19" fillId="0" borderId="0" xfId="0" applyFont="1" applyAlignment="1">
      <alignment horizontal="left" vertical="top" wrapText="1"/>
    </xf>
    <xf numFmtId="0" fontId="20" fillId="0" borderId="0" xfId="0" applyFont="1"/>
    <xf numFmtId="0" fontId="20" fillId="0" borderId="0" xfId="0" quotePrefix="1" applyFont="1"/>
    <xf numFmtId="0" fontId="10" fillId="9" borderId="0" xfId="0" applyFont="1" applyFill="1"/>
    <xf numFmtId="0" fontId="23" fillId="0" borderId="0" xfId="3" applyFont="1"/>
    <xf numFmtId="0" fontId="23" fillId="0" borderId="0" xfId="0" applyFont="1"/>
    <xf numFmtId="0" fontId="20" fillId="0" borderId="12" xfId="0" applyFont="1" applyBorder="1" applyAlignment="1">
      <alignment vertical="center" wrapText="1"/>
    </xf>
    <xf numFmtId="0" fontId="20" fillId="0" borderId="3" xfId="0" applyFont="1" applyBorder="1" applyAlignment="1">
      <alignment vertical="center" wrapText="1"/>
    </xf>
    <xf numFmtId="0" fontId="20" fillId="0" borderId="13"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4" fillId="0" borderId="8" xfId="4" applyFont="1" applyFill="1" applyBorder="1" applyAlignment="1">
      <alignment vertical="center" wrapText="1"/>
    </xf>
    <xf numFmtId="0" fontId="20" fillId="0" borderId="8" xfId="0" applyFont="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0" borderId="2" xfId="0" applyFont="1" applyBorder="1" applyAlignment="1">
      <alignment vertical="center" wrapText="1"/>
    </xf>
    <xf numFmtId="0" fontId="20" fillId="0" borderId="0" xfId="0" applyFont="1" applyAlignment="1">
      <alignment vertical="center" wrapText="1"/>
    </xf>
    <xf numFmtId="0" fontId="22" fillId="0" borderId="4" xfId="0" applyFont="1" applyBorder="1" applyAlignment="1">
      <alignment vertical="center" wrapText="1"/>
    </xf>
    <xf numFmtId="0" fontId="22" fillId="0" borderId="2" xfId="0" applyFont="1" applyBorder="1" applyAlignment="1">
      <alignment vertical="center" wrapText="1"/>
    </xf>
    <xf numFmtId="0" fontId="20" fillId="0" borderId="5" xfId="0" applyFont="1" applyBorder="1" applyAlignment="1">
      <alignment horizontal="right" vertical="center" wrapText="1"/>
    </xf>
    <xf numFmtId="0" fontId="22" fillId="0" borderId="14" xfId="0" applyFont="1" applyBorder="1" applyAlignment="1">
      <alignment vertical="center" wrapText="1"/>
    </xf>
    <xf numFmtId="0" fontId="22" fillId="0" borderId="0" xfId="0" applyFont="1" applyAlignment="1">
      <alignment vertical="center" wrapText="1"/>
    </xf>
    <xf numFmtId="0" fontId="20" fillId="0" borderId="15" xfId="0" applyFont="1" applyBorder="1" applyAlignment="1">
      <alignment horizontal="right" vertical="center" wrapText="1"/>
    </xf>
    <xf numFmtId="0" fontId="20" fillId="0" borderId="15" xfId="0" applyFont="1" applyBorder="1" applyAlignment="1">
      <alignment vertical="center" wrapText="1"/>
    </xf>
    <xf numFmtId="0" fontId="24" fillId="0" borderId="0" xfId="4" applyFont="1" applyBorder="1" applyAlignment="1">
      <alignment vertical="center" wrapText="1"/>
    </xf>
    <xf numFmtId="0" fontId="24" fillId="0" borderId="0" xfId="4" applyFont="1" applyFill="1" applyBorder="1" applyAlignment="1">
      <alignment vertical="center" wrapText="1"/>
    </xf>
    <xf numFmtId="0" fontId="20" fillId="0" borderId="4" xfId="0" applyFont="1" applyBorder="1" applyAlignment="1">
      <alignment horizontal="left" vertical="top" wrapText="1"/>
    </xf>
    <xf numFmtId="0" fontId="20" fillId="0" borderId="2" xfId="0" applyFont="1" applyBorder="1" applyAlignment="1">
      <alignment horizontal="left" vertical="top" wrapText="1"/>
    </xf>
    <xf numFmtId="0" fontId="20" fillId="0" borderId="5" xfId="0" applyFont="1" applyBorder="1" applyAlignment="1">
      <alignment vertical="top" wrapText="1"/>
    </xf>
    <xf numFmtId="0" fontId="20" fillId="0" borderId="2" xfId="0" quotePrefix="1"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vertical="top" wrapText="1"/>
    </xf>
    <xf numFmtId="0" fontId="22" fillId="0" borderId="0" xfId="0" applyFont="1"/>
    <xf numFmtId="0" fontId="20" fillId="0" borderId="0" xfId="0" applyFont="1" applyAlignment="1">
      <alignment vertical="top"/>
    </xf>
    <xf numFmtId="0" fontId="20" fillId="0" borderId="0" xfId="0" applyFont="1" applyAlignment="1">
      <alignment wrapText="1"/>
    </xf>
    <xf numFmtId="0" fontId="7" fillId="10" borderId="4" xfId="0" applyFont="1" applyFill="1" applyBorder="1" applyAlignment="1">
      <alignment vertical="center"/>
    </xf>
    <xf numFmtId="0" fontId="7" fillId="10" borderId="2" xfId="0" applyFont="1" applyFill="1" applyBorder="1" applyAlignment="1">
      <alignment vertical="center"/>
    </xf>
    <xf numFmtId="0" fontId="7" fillId="10" borderId="5" xfId="0" applyFont="1" applyFill="1" applyBorder="1" applyAlignment="1">
      <alignment vertical="center"/>
    </xf>
    <xf numFmtId="0" fontId="7" fillId="9" borderId="4" xfId="0" applyFont="1" applyFill="1" applyBorder="1" applyAlignment="1">
      <alignment vertical="center" wrapText="1"/>
    </xf>
    <xf numFmtId="0" fontId="7" fillId="9" borderId="2" xfId="0" applyFont="1" applyFill="1" applyBorder="1" applyAlignment="1">
      <alignment vertical="center" wrapText="1"/>
    </xf>
    <xf numFmtId="0" fontId="7" fillId="9" borderId="5" xfId="0" applyFont="1" applyFill="1" applyBorder="1" applyAlignment="1">
      <alignment vertical="center" wrapText="1"/>
    </xf>
    <xf numFmtId="0" fontId="7" fillId="9" borderId="0" xfId="0" applyFont="1" applyFill="1" applyAlignment="1">
      <alignment vertical="center" wrapText="1"/>
    </xf>
    <xf numFmtId="0" fontId="10" fillId="9" borderId="0" xfId="4" applyFont="1" applyFill="1" applyBorder="1" applyAlignment="1">
      <alignment vertical="center" wrapText="1"/>
    </xf>
    <xf numFmtId="0" fontId="10" fillId="9" borderId="0" xfId="0" applyFont="1" applyFill="1" applyAlignment="1">
      <alignment vertical="center" wrapText="1"/>
    </xf>
    <xf numFmtId="0" fontId="7" fillId="10" borderId="4" xfId="0" applyFont="1" applyFill="1" applyBorder="1" applyAlignment="1">
      <alignment vertical="center" wrapText="1"/>
    </xf>
    <xf numFmtId="0" fontId="7" fillId="10" borderId="2" xfId="0" applyFont="1" applyFill="1" applyBorder="1" applyAlignment="1">
      <alignment vertical="center" wrapText="1"/>
    </xf>
    <xf numFmtId="0" fontId="7" fillId="10" borderId="5" xfId="0" applyFont="1" applyFill="1" applyBorder="1" applyAlignment="1">
      <alignment vertical="center" wrapText="1"/>
    </xf>
    <xf numFmtId="0" fontId="7" fillId="9" borderId="0" xfId="0" applyFont="1" applyFill="1" applyAlignment="1">
      <alignment horizontal="left" vertical="center"/>
    </xf>
    <xf numFmtId="0" fontId="20" fillId="0" borderId="0" xfId="0" applyFont="1" applyAlignment="1">
      <alignment vertical="center"/>
    </xf>
    <xf numFmtId="0" fontId="20" fillId="0" borderId="0" xfId="0" applyFont="1" applyAlignment="1">
      <alignment horizontal="center" vertical="top"/>
    </xf>
    <xf numFmtId="0" fontId="20" fillId="0" borderId="0" xfId="0" quotePrefix="1" applyFont="1" applyAlignment="1">
      <alignment horizontal="left" vertical="center" wrapText="1" indent="1"/>
    </xf>
    <xf numFmtId="0" fontId="19" fillId="0" borderId="0" xfId="0" applyFont="1" applyAlignment="1">
      <alignment horizontal="left"/>
    </xf>
    <xf numFmtId="3" fontId="20" fillId="0" borderId="0" xfId="0" applyNumberFormat="1" applyFont="1" applyAlignment="1">
      <alignment vertical="center"/>
    </xf>
    <xf numFmtId="0" fontId="22" fillId="0" borderId="18" xfId="6" applyFont="1" applyAlignment="1">
      <alignment vertical="center"/>
    </xf>
    <xf numFmtId="3" fontId="22" fillId="0" borderId="18" xfId="6" applyNumberFormat="1" applyFont="1" applyAlignment="1"/>
    <xf numFmtId="3" fontId="22" fillId="0" borderId="18" xfId="6" applyNumberFormat="1" applyFont="1" applyAlignment="1">
      <alignment horizontal="right"/>
    </xf>
    <xf numFmtId="3" fontId="22" fillId="0" borderId="18" xfId="6" applyNumberFormat="1" applyFont="1" applyFill="1" applyAlignment="1"/>
    <xf numFmtId="0" fontId="7" fillId="9" borderId="0" xfId="0" applyFont="1" applyFill="1" applyAlignment="1">
      <alignment vertical="center"/>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xf>
    <xf numFmtId="2" fontId="20" fillId="0" borderId="0" xfId="0" applyNumberFormat="1" applyFont="1" applyAlignment="1">
      <alignment horizontal="right" vertical="center" wrapText="1"/>
    </xf>
    <xf numFmtId="0" fontId="22" fillId="0" borderId="18" xfId="6" applyFont="1" applyAlignment="1">
      <alignment horizontal="left" vertical="center"/>
    </xf>
    <xf numFmtId="0" fontId="22" fillId="0" borderId="18" xfId="6" applyFont="1" applyAlignment="1">
      <alignment horizontal="right" vertical="center"/>
    </xf>
    <xf numFmtId="2" fontId="22" fillId="0" borderId="18" xfId="6" applyNumberFormat="1" applyFont="1" applyAlignment="1">
      <alignment horizontal="right" vertical="center" wrapText="1"/>
    </xf>
    <xf numFmtId="0" fontId="22" fillId="0" borderId="18" xfId="6" applyFont="1" applyAlignment="1">
      <alignment horizontal="left" vertical="center" wrapText="1"/>
    </xf>
    <xf numFmtId="2" fontId="20" fillId="0" borderId="0" xfId="0" applyNumberFormat="1" applyFont="1" applyAlignment="1">
      <alignment horizontal="right" vertical="center"/>
    </xf>
    <xf numFmtId="2" fontId="19" fillId="0" borderId="0" xfId="0" applyNumberFormat="1" applyFont="1"/>
    <xf numFmtId="2" fontId="22" fillId="0" borderId="18" xfId="6" applyNumberFormat="1" applyFont="1" applyAlignment="1">
      <alignment horizontal="right"/>
    </xf>
    <xf numFmtId="0" fontId="20" fillId="0" borderId="4" xfId="0" applyFont="1" applyBorder="1" applyAlignment="1">
      <alignment vertical="center" wrapText="1"/>
    </xf>
    <xf numFmtId="0" fontId="20" fillId="0" borderId="2" xfId="0" applyFont="1" applyBorder="1" applyAlignment="1">
      <alignment horizontal="left" vertical="center"/>
    </xf>
    <xf numFmtId="0" fontId="20" fillId="0" borderId="5" xfId="0" applyFont="1" applyBorder="1" applyAlignment="1">
      <alignment horizontal="left" vertical="center"/>
    </xf>
    <xf numFmtId="0" fontId="20" fillId="0" borderId="4"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2"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wrapText="1"/>
    </xf>
    <xf numFmtId="0" fontId="7" fillId="9" borderId="0" xfId="0" applyFont="1" applyFill="1" applyAlignment="1">
      <alignment horizontal="left" vertical="center" wrapText="1"/>
    </xf>
    <xf numFmtId="0" fontId="10" fillId="9" borderId="0" xfId="0" applyFont="1" applyFill="1" applyAlignment="1">
      <alignment horizontal="left" vertical="center" wrapText="1"/>
    </xf>
    <xf numFmtId="0" fontId="7" fillId="10" borderId="4"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22" fillId="0" borderId="9" xfId="0" applyFont="1" applyBorder="1" applyAlignment="1">
      <alignment vertical="center" wrapText="1"/>
    </xf>
    <xf numFmtId="3" fontId="22" fillId="0" borderId="9" xfId="0" applyNumberFormat="1" applyFont="1" applyBorder="1" applyAlignment="1">
      <alignment horizontal="right" vertical="center" wrapText="1"/>
    </xf>
    <xf numFmtId="3" fontId="22" fillId="3" borderId="9" xfId="0" applyNumberFormat="1" applyFont="1" applyFill="1" applyBorder="1" applyAlignment="1">
      <alignment horizontal="right" vertical="center" wrapText="1"/>
    </xf>
    <xf numFmtId="9" fontId="22" fillId="0" borderId="9" xfId="1" applyFont="1" applyBorder="1" applyAlignment="1">
      <alignment horizontal="center" vertical="center" wrapText="1"/>
    </xf>
    <xf numFmtId="0" fontId="20" fillId="0" borderId="9" xfId="0" applyFont="1" applyBorder="1" applyAlignment="1">
      <alignment horizontal="left" vertical="center" wrapText="1" indent="1"/>
    </xf>
    <xf numFmtId="3" fontId="20" fillId="0" borderId="9" xfId="0" applyNumberFormat="1" applyFont="1" applyBorder="1" applyAlignment="1">
      <alignment vertical="top" wrapText="1"/>
    </xf>
    <xf numFmtId="3" fontId="20" fillId="3" borderId="9" xfId="0" applyNumberFormat="1" applyFont="1" applyFill="1" applyBorder="1" applyAlignment="1">
      <alignment horizontal="right" vertical="center" wrapText="1"/>
    </xf>
    <xf numFmtId="3" fontId="20" fillId="0" borderId="9" xfId="0" applyNumberFormat="1" applyFont="1" applyBorder="1" applyAlignment="1">
      <alignment horizontal="right" vertical="center" wrapText="1"/>
    </xf>
    <xf numFmtId="9" fontId="20" fillId="0" borderId="9" xfId="1" applyFont="1" applyBorder="1" applyAlignment="1">
      <alignment horizontal="center" vertical="center" wrapText="1"/>
    </xf>
    <xf numFmtId="9" fontId="20" fillId="0" borderId="9" xfId="1" applyFont="1" applyBorder="1" applyAlignment="1">
      <alignment horizontal="center" vertical="top" wrapText="1"/>
    </xf>
    <xf numFmtId="3" fontId="27" fillId="0" borderId="9" xfId="0" applyNumberFormat="1" applyFont="1" applyBorder="1" applyAlignment="1">
      <alignment horizontal="right" vertical="center" wrapText="1"/>
    </xf>
    <xf numFmtId="9" fontId="27" fillId="0" borderId="9" xfId="1" applyFont="1" applyBorder="1" applyAlignment="1">
      <alignment horizontal="center" vertical="center" wrapText="1"/>
    </xf>
    <xf numFmtId="3" fontId="28" fillId="0" borderId="9" xfId="0" applyNumberFormat="1" applyFont="1" applyBorder="1" applyAlignment="1">
      <alignment horizontal="right" vertical="center" wrapText="1"/>
    </xf>
    <xf numFmtId="0" fontId="22" fillId="0" borderId="18" xfId="6" applyFont="1" applyFill="1" applyAlignment="1">
      <alignment vertical="center" wrapText="1"/>
    </xf>
    <xf numFmtId="3" fontId="22" fillId="0" borderId="18" xfId="6" applyNumberFormat="1" applyFont="1" applyFill="1" applyAlignment="1">
      <alignment horizontal="right" vertical="center" wrapText="1"/>
    </xf>
    <xf numFmtId="3" fontId="22" fillId="3" borderId="18" xfId="6" applyNumberFormat="1" applyFont="1" applyFill="1" applyAlignment="1">
      <alignment horizontal="right" vertical="center" wrapText="1"/>
    </xf>
    <xf numFmtId="9" fontId="22" fillId="0" borderId="18" xfId="1" applyFont="1" applyFill="1" applyBorder="1" applyAlignment="1">
      <alignment horizontal="right" vertical="center" wrapText="1"/>
    </xf>
    <xf numFmtId="9" fontId="22" fillId="0" borderId="18" xfId="6" applyNumberFormat="1" applyFont="1" applyFill="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0" fillId="0" borderId="9" xfId="0" applyFont="1" applyBorder="1" applyAlignment="1">
      <alignment vertical="center"/>
    </xf>
    <xf numFmtId="3" fontId="20" fillId="0" borderId="9" xfId="0" applyNumberFormat="1" applyFont="1" applyBorder="1" applyAlignment="1">
      <alignment horizontal="right" vertical="center"/>
    </xf>
    <xf numFmtId="0" fontId="22" fillId="0" borderId="16" xfId="0" applyFont="1" applyBorder="1" applyAlignment="1">
      <alignment vertical="center"/>
    </xf>
    <xf numFmtId="3" fontId="22" fillId="0" borderId="16" xfId="0" applyNumberFormat="1" applyFont="1" applyBorder="1" applyAlignment="1">
      <alignment horizontal="right" vertical="center" wrapText="1"/>
    </xf>
    <xf numFmtId="0" fontId="20" fillId="2" borderId="11" xfId="0" applyFont="1" applyFill="1" applyBorder="1" applyAlignment="1">
      <alignment vertical="center"/>
    </xf>
    <xf numFmtId="0" fontId="20" fillId="2" borderId="9" xfId="0" applyFont="1" applyFill="1" applyBorder="1" applyAlignment="1">
      <alignment vertical="center"/>
    </xf>
    <xf numFmtId="0" fontId="7" fillId="9" borderId="9" xfId="0" applyFont="1" applyFill="1" applyBorder="1" applyAlignment="1">
      <alignment vertical="center" wrapText="1"/>
    </xf>
    <xf numFmtId="0" fontId="7" fillId="9" borderId="9" xfId="0" applyFont="1" applyFill="1" applyBorder="1" applyAlignment="1">
      <alignment horizontal="left" vertical="center" wrapText="1"/>
    </xf>
    <xf numFmtId="0" fontId="19" fillId="0" borderId="21" xfId="0" applyFont="1" applyBorder="1"/>
    <xf numFmtId="0" fontId="20" fillId="0" borderId="0" xfId="0" applyFont="1" applyAlignment="1">
      <alignment horizontal="left" vertical="top" wrapText="1"/>
    </xf>
    <xf numFmtId="0" fontId="20" fillId="0" borderId="0" xfId="0" applyFont="1" applyAlignment="1">
      <alignment horizontal="left"/>
    </xf>
    <xf numFmtId="0" fontId="20" fillId="0" borderId="0" xfId="0" quotePrefix="1" applyFont="1" applyAlignment="1">
      <alignment horizontal="left" vertical="top" wrapText="1"/>
    </xf>
    <xf numFmtId="0" fontId="20" fillId="0" borderId="0" xfId="0" applyFont="1" applyAlignment="1">
      <alignment vertical="top" wrapText="1"/>
    </xf>
    <xf numFmtId="0" fontId="20" fillId="0" borderId="5" xfId="0" applyFont="1" applyBorder="1" applyAlignment="1">
      <alignment vertical="center" wrapText="1"/>
    </xf>
    <xf numFmtId="0" fontId="20" fillId="0" borderId="2" xfId="0" applyFont="1" applyBorder="1" applyAlignment="1">
      <alignment vertical="center"/>
    </xf>
    <xf numFmtId="0" fontId="20" fillId="0" borderId="7" xfId="0" applyFont="1" applyBorder="1" applyAlignment="1">
      <alignment vertical="center"/>
    </xf>
    <xf numFmtId="3" fontId="20" fillId="0" borderId="0" xfId="0" applyNumberFormat="1" applyFont="1" applyAlignment="1">
      <alignment horizontal="right" vertical="center" wrapText="1"/>
    </xf>
    <xf numFmtId="0" fontId="20" fillId="3" borderId="0" xfId="0" applyFont="1" applyFill="1" applyAlignment="1">
      <alignment horizontal="right" vertical="center"/>
    </xf>
    <xf numFmtId="10" fontId="20" fillId="0" borderId="0" xfId="0" applyNumberFormat="1" applyFont="1" applyAlignment="1">
      <alignment horizontal="right" vertical="center"/>
    </xf>
    <xf numFmtId="0" fontId="10" fillId="9" borderId="0" xfId="0" applyFont="1" applyFill="1" applyAlignment="1">
      <alignment horizontal="right" vertical="center" wrapText="1"/>
    </xf>
    <xf numFmtId="0" fontId="10" fillId="9" borderId="0" xfId="0" applyFont="1" applyFill="1" applyAlignment="1">
      <alignment horizontal="left" vertical="top" wrapText="1"/>
    </xf>
    <xf numFmtId="0" fontId="10" fillId="9" borderId="0" xfId="0" applyFont="1" applyFill="1" applyAlignment="1">
      <alignment horizontal="right" vertical="top" wrapText="1"/>
    </xf>
    <xf numFmtId="0" fontId="10" fillId="9" borderId="0" xfId="0" applyFont="1" applyFill="1" applyAlignment="1">
      <alignment vertical="center"/>
    </xf>
    <xf numFmtId="0" fontId="7" fillId="9" borderId="0" xfId="0" applyFont="1" applyFill="1" applyAlignment="1">
      <alignment horizontal="center" vertical="center"/>
    </xf>
    <xf numFmtId="9" fontId="20" fillId="0" borderId="0" xfId="0" applyNumberFormat="1" applyFont="1" applyAlignment="1">
      <alignment horizontal="left" vertical="center" wrapText="1"/>
    </xf>
    <xf numFmtId="0" fontId="26" fillId="0" borderId="0" xfId="0" applyFont="1" applyAlignment="1">
      <alignment vertical="center"/>
    </xf>
    <xf numFmtId="0" fontId="30" fillId="0" borderId="0" xfId="0" applyFont="1" applyAlignment="1">
      <alignment vertical="center"/>
    </xf>
    <xf numFmtId="16" fontId="20" fillId="0" borderId="0" xfId="0" quotePrefix="1" applyNumberFormat="1" applyFont="1" applyAlignment="1">
      <alignment horizontal="left" vertical="center" wrapText="1"/>
    </xf>
    <xf numFmtId="9" fontId="20" fillId="0" borderId="0" xfId="0" applyNumberFormat="1" applyFont="1" applyAlignment="1">
      <alignment horizontal="left" vertical="center"/>
    </xf>
    <xf numFmtId="0" fontId="19" fillId="0" borderId="0" xfId="0" applyFont="1" applyAlignment="1">
      <alignment vertical="top"/>
    </xf>
    <xf numFmtId="0" fontId="22" fillId="0" borderId="18" xfId="6" applyFont="1" applyFill="1" applyAlignment="1">
      <alignment horizontal="left" vertical="center" wrapText="1"/>
    </xf>
    <xf numFmtId="9" fontId="22" fillId="0" borderId="18" xfId="6" applyNumberFormat="1" applyFont="1" applyFill="1" applyAlignment="1">
      <alignment horizontal="left" vertical="center" wrapText="1"/>
    </xf>
    <xf numFmtId="3" fontId="20" fillId="0" borderId="0" xfId="0" applyNumberFormat="1" applyFont="1" applyAlignment="1">
      <alignment horizontal="center" vertical="center" wrapText="1"/>
    </xf>
    <xf numFmtId="3" fontId="20" fillId="0" borderId="0" xfId="0" applyNumberFormat="1" applyFont="1" applyAlignment="1">
      <alignment horizontal="right" vertical="center"/>
    </xf>
    <xf numFmtId="0" fontId="20" fillId="2" borderId="0" xfId="0" applyFont="1" applyFill="1" applyAlignment="1">
      <alignment vertical="center"/>
    </xf>
    <xf numFmtId="0" fontId="20" fillId="2" borderId="0" xfId="0" applyFont="1" applyFill="1" applyAlignment="1">
      <alignment horizontal="right" vertical="center"/>
    </xf>
    <xf numFmtId="9" fontId="20" fillId="0" borderId="0" xfId="0" applyNumberFormat="1" applyFont="1" applyAlignment="1">
      <alignment horizontal="right" vertical="center"/>
    </xf>
    <xf numFmtId="0" fontId="22" fillId="0" borderId="18" xfId="6" applyFont="1" applyAlignment="1">
      <alignment vertical="center" wrapText="1"/>
    </xf>
    <xf numFmtId="3" fontId="22" fillId="0" borderId="18" xfId="6" applyNumberFormat="1" applyFont="1" applyAlignment="1">
      <alignment horizontal="right" vertical="center"/>
    </xf>
    <xf numFmtId="0" fontId="19" fillId="0" borderId="0" xfId="0" applyFont="1" applyAlignment="1">
      <alignment horizontal="right" vertical="top"/>
    </xf>
    <xf numFmtId="0" fontId="23" fillId="0" borderId="0" xfId="0" applyFont="1" applyAlignment="1">
      <alignment horizontal="left" vertical="center" wrapText="1"/>
    </xf>
    <xf numFmtId="0" fontId="23" fillId="0" borderId="0" xfId="0" applyFont="1" applyAlignment="1">
      <alignment horizontal="left"/>
    </xf>
    <xf numFmtId="0" fontId="20" fillId="0" borderId="3" xfId="0" applyFont="1" applyBorder="1" applyAlignment="1">
      <alignment horizontal="right" vertical="center" wrapText="1"/>
    </xf>
    <xf numFmtId="0" fontId="20" fillId="0" borderId="13" xfId="0" applyFont="1" applyBorder="1" applyAlignment="1">
      <alignment horizontal="right" vertical="center" wrapText="1"/>
    </xf>
    <xf numFmtId="0" fontId="19" fillId="0" borderId="0" xfId="0" applyFont="1" applyAlignment="1">
      <alignment vertical="center" wrapText="1"/>
    </xf>
    <xf numFmtId="0" fontId="10" fillId="9" borderId="0" xfId="0" applyFont="1" applyFill="1" applyAlignment="1">
      <alignment horizontal="left" vertical="center"/>
    </xf>
    <xf numFmtId="0" fontId="7" fillId="9" borderId="4"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9" borderId="5" xfId="0" applyFont="1" applyFill="1" applyBorder="1" applyAlignment="1">
      <alignment horizontal="left" vertical="center" wrapText="1"/>
    </xf>
    <xf numFmtId="0" fontId="34" fillId="0" borderId="0" xfId="0" applyFont="1" applyAlignment="1">
      <alignment wrapText="1"/>
    </xf>
    <xf numFmtId="0" fontId="35" fillId="0" borderId="0" xfId="3" applyFont="1"/>
    <xf numFmtId="0" fontId="34" fillId="0" borderId="0" xfId="0" applyFont="1"/>
    <xf numFmtId="0" fontId="34" fillId="0" borderId="0" xfId="0" applyFont="1" applyAlignment="1">
      <alignment horizontal="left"/>
    </xf>
    <xf numFmtId="0" fontId="37" fillId="0" borderId="9" xfId="0" applyFont="1" applyBorder="1" applyAlignment="1">
      <alignment horizontal="right" vertical="center"/>
    </xf>
    <xf numFmtId="9" fontId="34" fillId="0" borderId="0" xfId="1" applyFont="1" applyAlignment="1">
      <alignment horizontal="right"/>
    </xf>
    <xf numFmtId="0" fontId="34" fillId="0" borderId="0" xfId="0" applyFont="1" applyAlignment="1">
      <alignment horizontal="right"/>
    </xf>
    <xf numFmtId="0" fontId="36" fillId="0" borderId="9" xfId="0" applyFont="1" applyBorder="1" applyAlignment="1">
      <alignment horizontal="right" vertical="center"/>
    </xf>
    <xf numFmtId="9" fontId="34" fillId="0" borderId="0" xfId="1" applyFont="1"/>
    <xf numFmtId="0" fontId="37" fillId="0" borderId="0" xfId="0" applyFont="1" applyAlignment="1">
      <alignment horizontal="left"/>
    </xf>
    <xf numFmtId="0" fontId="37" fillId="0" borderId="0" xfId="0" applyFont="1" applyAlignment="1">
      <alignment horizontal="right"/>
    </xf>
    <xf numFmtId="0" fontId="37" fillId="0" borderId="0" xfId="0" applyFont="1"/>
    <xf numFmtId="0" fontId="37" fillId="0" borderId="9" xfId="0" applyFont="1" applyBorder="1" applyAlignment="1">
      <alignment vertical="center" wrapText="1"/>
    </xf>
    <xf numFmtId="0" fontId="37" fillId="0" borderId="9" xfId="0" applyFont="1" applyBorder="1" applyAlignment="1">
      <alignment horizontal="right" vertical="center" wrapText="1"/>
    </xf>
    <xf numFmtId="10" fontId="37" fillId="0" borderId="9" xfId="0" applyNumberFormat="1" applyFont="1" applyBorder="1" applyAlignment="1">
      <alignment horizontal="right" vertical="center" wrapText="1"/>
    </xf>
    <xf numFmtId="9" fontId="37" fillId="0" borderId="9" xfId="1" applyFont="1" applyFill="1" applyBorder="1" applyAlignment="1">
      <alignment horizontal="right" vertical="center" wrapText="1"/>
    </xf>
    <xf numFmtId="0" fontId="37" fillId="0" borderId="16" xfId="0" applyFont="1" applyBorder="1" applyAlignment="1">
      <alignment vertical="center" wrapText="1"/>
    </xf>
    <xf numFmtId="0" fontId="37" fillId="0" borderId="16" xfId="0" applyFont="1" applyBorder="1" applyAlignment="1">
      <alignment horizontal="right" vertical="center" wrapText="1"/>
    </xf>
    <xf numFmtId="10" fontId="37" fillId="0" borderId="10" xfId="0" applyNumberFormat="1" applyFont="1" applyBorder="1" applyAlignment="1">
      <alignment horizontal="right" vertical="center" wrapText="1"/>
    </xf>
    <xf numFmtId="9" fontId="37" fillId="0" borderId="16" xfId="1" applyFont="1" applyFill="1" applyBorder="1" applyAlignment="1">
      <alignment horizontal="right" vertical="center" wrapText="1"/>
    </xf>
    <xf numFmtId="0" fontId="36" fillId="6" borderId="11" xfId="0" applyFont="1" applyFill="1" applyBorder="1" applyAlignment="1">
      <alignment vertical="center" wrapText="1"/>
    </xf>
    <xf numFmtId="0" fontId="36" fillId="0" borderId="11" xfId="0" applyFont="1" applyBorder="1" applyAlignment="1">
      <alignment horizontal="right" vertical="center" wrapText="1"/>
    </xf>
    <xf numFmtId="10" fontId="36" fillId="0" borderId="19" xfId="0" applyNumberFormat="1" applyFont="1" applyBorder="1" applyAlignment="1">
      <alignment horizontal="right" vertical="center" wrapText="1"/>
    </xf>
    <xf numFmtId="9" fontId="36" fillId="0" borderId="11" xfId="1" applyFont="1" applyFill="1" applyBorder="1" applyAlignment="1">
      <alignment horizontal="right" vertical="center" wrapText="1"/>
    </xf>
    <xf numFmtId="0" fontId="36" fillId="0" borderId="0" xfId="0" applyFont="1"/>
    <xf numFmtId="0" fontId="37" fillId="0" borderId="9" xfId="0" applyFont="1" applyBorder="1" applyAlignment="1">
      <alignment horizontal="left" vertical="center" wrapText="1" indent="1"/>
    </xf>
    <xf numFmtId="0" fontId="37" fillId="0" borderId="16" xfId="0" applyFont="1" applyBorder="1" applyAlignment="1">
      <alignment horizontal="left" vertical="center" wrapText="1" indent="1"/>
    </xf>
    <xf numFmtId="10" fontId="37" fillId="0" borderId="16" xfId="0" applyNumberFormat="1" applyFont="1" applyBorder="1" applyAlignment="1">
      <alignment horizontal="right" vertical="center" wrapText="1"/>
    </xf>
    <xf numFmtId="10" fontId="36" fillId="0" borderId="11" xfId="0" applyNumberFormat="1" applyFont="1" applyBorder="1" applyAlignment="1">
      <alignment horizontal="right" vertical="center" wrapText="1"/>
    </xf>
    <xf numFmtId="3" fontId="36" fillId="0" borderId="11" xfId="0" applyNumberFormat="1" applyFont="1" applyBorder="1" applyAlignment="1">
      <alignment horizontal="right" vertical="center" wrapText="1"/>
    </xf>
    <xf numFmtId="3" fontId="37" fillId="0" borderId="16" xfId="0" applyNumberFormat="1" applyFont="1" applyBorder="1" applyAlignment="1">
      <alignment horizontal="right" vertical="center" wrapText="1"/>
    </xf>
    <xf numFmtId="0" fontId="37" fillId="0" borderId="0" xfId="0" applyFont="1" applyAlignment="1">
      <alignment vertical="top" wrapText="1"/>
    </xf>
    <xf numFmtId="0" fontId="37" fillId="0" borderId="0" xfId="0" applyFont="1" applyAlignment="1">
      <alignment vertical="top"/>
    </xf>
    <xf numFmtId="10" fontId="37" fillId="3" borderId="9" xfId="0" applyNumberFormat="1" applyFont="1" applyFill="1" applyBorder="1" applyAlignment="1">
      <alignment horizontal="right" vertical="center"/>
    </xf>
    <xf numFmtId="3" fontId="37" fillId="0" borderId="9" xfId="0" applyNumberFormat="1" applyFont="1" applyBorder="1" applyAlignment="1">
      <alignment horizontal="right" vertical="center" wrapText="1"/>
    </xf>
    <xf numFmtId="3" fontId="37" fillId="0" borderId="9" xfId="0" applyNumberFormat="1" applyFont="1" applyBorder="1" applyAlignment="1">
      <alignment horizontal="right" vertical="center"/>
    </xf>
    <xf numFmtId="10" fontId="37" fillId="0" borderId="9" xfId="0" applyNumberFormat="1" applyFont="1" applyBorder="1" applyAlignment="1">
      <alignment horizontal="right" vertical="center"/>
    </xf>
    <xf numFmtId="0" fontId="35" fillId="0" borderId="0" xfId="0" applyFont="1" applyAlignment="1">
      <alignment horizontal="left"/>
    </xf>
    <xf numFmtId="0" fontId="37" fillId="0" borderId="9" xfId="0" applyFont="1" applyBorder="1" applyAlignment="1">
      <alignment horizontal="left" vertical="center"/>
    </xf>
    <xf numFmtId="0" fontId="36" fillId="0" borderId="18" xfId="6" applyFont="1" applyFill="1" applyAlignment="1">
      <alignment horizontal="left" vertical="center"/>
    </xf>
    <xf numFmtId="10" fontId="36" fillId="0" borderId="18" xfId="1" applyNumberFormat="1" applyFont="1" applyFill="1" applyBorder="1" applyAlignment="1">
      <alignment horizontal="right" vertical="center"/>
    </xf>
    <xf numFmtId="0" fontId="37" fillId="0" borderId="0" xfId="0" applyFont="1" applyAlignment="1">
      <alignment vertical="center" wrapText="1"/>
    </xf>
    <xf numFmtId="0" fontId="37" fillId="0" borderId="9" xfId="0" applyFont="1" applyBorder="1" applyAlignment="1">
      <alignment vertical="center"/>
    </xf>
    <xf numFmtId="1" fontId="37" fillId="0" borderId="9" xfId="0" applyNumberFormat="1" applyFont="1" applyBorder="1" applyAlignment="1">
      <alignment horizontal="right" vertical="center"/>
    </xf>
    <xf numFmtId="0" fontId="36" fillId="0" borderId="18" xfId="6" applyFont="1" applyFill="1" applyAlignment="1">
      <alignment vertical="center"/>
    </xf>
    <xf numFmtId="3" fontId="36" fillId="0" borderId="18" xfId="6" applyNumberFormat="1" applyFont="1" applyFill="1" applyAlignment="1">
      <alignment horizontal="right" vertical="center"/>
    </xf>
    <xf numFmtId="1" fontId="36" fillId="0" borderId="18" xfId="6" applyNumberFormat="1" applyFont="1" applyFill="1" applyAlignment="1">
      <alignment horizontal="right" vertical="center"/>
    </xf>
    <xf numFmtId="0" fontId="36" fillId="5" borderId="0" xfId="0" applyFont="1" applyFill="1" applyAlignment="1">
      <alignment vertical="center" wrapText="1"/>
    </xf>
    <xf numFmtId="0" fontId="34" fillId="0" borderId="0" xfId="0" applyFont="1" applyAlignment="1">
      <alignment horizontal="left" vertical="center" wrapText="1"/>
    </xf>
    <xf numFmtId="9" fontId="37" fillId="0" borderId="9" xfId="0" applyNumberFormat="1" applyFont="1" applyBorder="1" applyAlignment="1">
      <alignment horizontal="right" vertical="center" wrapText="1"/>
    </xf>
    <xf numFmtId="0" fontId="34" fillId="0" borderId="0" xfId="0" applyFont="1" applyAlignment="1">
      <alignment vertical="center" wrapText="1"/>
    </xf>
    <xf numFmtId="0" fontId="35" fillId="0" borderId="0" xfId="0" applyFont="1"/>
    <xf numFmtId="9" fontId="37" fillId="0" borderId="9" xfId="0" applyNumberFormat="1" applyFont="1" applyBorder="1" applyAlignment="1">
      <alignment horizontal="right" vertical="center"/>
    </xf>
    <xf numFmtId="0" fontId="7" fillId="9" borderId="9" xfId="0" applyFont="1" applyFill="1" applyBorder="1" applyAlignment="1">
      <alignment horizontal="left" vertical="center"/>
    </xf>
    <xf numFmtId="0" fontId="7" fillId="9" borderId="11" xfId="0" applyFont="1" applyFill="1" applyBorder="1" applyAlignment="1">
      <alignment horizontal="left" vertical="center"/>
    </xf>
    <xf numFmtId="0" fontId="7" fillId="11" borderId="9" xfId="0" applyFont="1" applyFill="1" applyBorder="1" applyAlignment="1">
      <alignment horizontal="left" vertical="center" wrapText="1"/>
    </xf>
    <xf numFmtId="0" fontId="7" fillId="9" borderId="9" xfId="0" applyFont="1" applyFill="1" applyBorder="1" applyAlignment="1">
      <alignment vertical="center"/>
    </xf>
    <xf numFmtId="0" fontId="22" fillId="0" borderId="5" xfId="0" applyFont="1" applyBorder="1" applyAlignment="1">
      <alignment vertical="center" wrapText="1"/>
    </xf>
    <xf numFmtId="0" fontId="22" fillId="4" borderId="14" xfId="0" applyFont="1" applyFill="1" applyBorder="1" applyAlignment="1">
      <alignment vertical="center" wrapText="1"/>
    </xf>
    <xf numFmtId="0" fontId="20" fillId="4" borderId="0" xfId="0" applyFont="1" applyFill="1" applyAlignment="1">
      <alignment vertical="center" wrapText="1"/>
    </xf>
    <xf numFmtId="0" fontId="20" fillId="4" borderId="15" xfId="0" applyFont="1" applyFill="1" applyBorder="1" applyAlignment="1">
      <alignment vertical="center" wrapText="1"/>
    </xf>
    <xf numFmtId="0" fontId="20" fillId="0" borderId="0" xfId="0" quotePrefix="1" applyFont="1" applyAlignment="1">
      <alignment vertical="center" wrapText="1"/>
    </xf>
    <xf numFmtId="0" fontId="22" fillId="0" borderId="12" xfId="0" applyFont="1" applyBorder="1" applyAlignment="1">
      <alignment vertical="center" wrapText="1"/>
    </xf>
    <xf numFmtId="9" fontId="20" fillId="0" borderId="0" xfId="0" applyNumberFormat="1" applyFont="1" applyAlignment="1">
      <alignment horizontal="right" vertical="center" wrapText="1"/>
    </xf>
    <xf numFmtId="9" fontId="20" fillId="0" borderId="0" xfId="1" applyFont="1" applyAlignment="1">
      <alignment horizontal="right"/>
    </xf>
    <xf numFmtId="0" fontId="22" fillId="0" borderId="18" xfId="6" applyFont="1" applyAlignment="1">
      <alignment vertical="top"/>
    </xf>
    <xf numFmtId="0" fontId="22" fillId="0" borderId="18" xfId="6" applyFont="1" applyAlignment="1">
      <alignment horizontal="right"/>
    </xf>
    <xf numFmtId="9" fontId="22" fillId="0" borderId="18" xfId="6" applyNumberFormat="1" applyFont="1" applyAlignment="1">
      <alignment horizontal="right"/>
    </xf>
    <xf numFmtId="0" fontId="10" fillId="9" borderId="0" xfId="0" applyFont="1" applyFill="1" applyAlignment="1">
      <alignment horizontal="left"/>
    </xf>
    <xf numFmtId="0" fontId="20" fillId="2" borderId="9" xfId="0" applyFont="1" applyFill="1" applyBorder="1" applyAlignment="1">
      <alignment horizontal="left" vertical="center" wrapText="1"/>
    </xf>
    <xf numFmtId="0" fontId="20" fillId="0" borderId="9" xfId="0" applyFont="1" applyBorder="1" applyAlignment="1">
      <alignment horizontal="right" vertical="center" wrapText="1"/>
    </xf>
    <xf numFmtId="0" fontId="20" fillId="0" borderId="9" xfId="0" applyFont="1" applyBorder="1" applyAlignment="1">
      <alignment horizontal="right" vertical="center"/>
    </xf>
    <xf numFmtId="6" fontId="20" fillId="0" borderId="3" xfId="0" applyNumberFormat="1" applyFont="1" applyBorder="1" applyAlignment="1">
      <alignment horizontal="center" vertical="center"/>
    </xf>
    <xf numFmtId="6" fontId="20" fillId="0" borderId="7" xfId="0" applyNumberFormat="1" applyFont="1" applyBorder="1" applyAlignment="1">
      <alignment horizontal="center" vertical="center"/>
    </xf>
    <xf numFmtId="164" fontId="20" fillId="0" borderId="3"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22" fillId="2" borderId="0" xfId="0" applyFont="1" applyFill="1" applyAlignment="1">
      <alignment horizontal="right" vertical="center" wrapText="1"/>
    </xf>
    <xf numFmtId="0" fontId="22" fillId="2" borderId="7" xfId="0" applyFont="1" applyFill="1" applyBorder="1" applyAlignment="1">
      <alignment horizontal="center" vertical="center"/>
    </xf>
    <xf numFmtId="0" fontId="22" fillId="0" borderId="0" xfId="0" applyFont="1" applyAlignment="1">
      <alignment horizontal="right" vertical="center" wrapText="1"/>
    </xf>
    <xf numFmtId="0" fontId="22" fillId="0" borderId="7" xfId="0" applyFont="1" applyBorder="1" applyAlignment="1">
      <alignment horizontal="center" vertical="center"/>
    </xf>
    <xf numFmtId="0" fontId="20" fillId="0" borderId="0" xfId="0" quotePrefix="1" applyFont="1" applyAlignment="1">
      <alignment horizontal="left" vertical="center" wrapText="1"/>
    </xf>
    <xf numFmtId="0" fontId="19" fillId="0" borderId="0" xfId="0" applyFont="1" applyAlignment="1">
      <alignment horizontal="right"/>
    </xf>
    <xf numFmtId="0" fontId="23" fillId="0" borderId="0" xfId="3" applyFont="1" applyAlignment="1">
      <alignment vertical="center"/>
    </xf>
    <xf numFmtId="0" fontId="20" fillId="0" borderId="9" xfId="0" applyFont="1" applyBorder="1" applyAlignment="1">
      <alignment wrapText="1"/>
    </xf>
    <xf numFmtId="3" fontId="22" fillId="0" borderId="9" xfId="0" applyNumberFormat="1" applyFont="1" applyBorder="1" applyAlignment="1">
      <alignment wrapText="1"/>
    </xf>
    <xf numFmtId="9" fontId="20" fillId="0" borderId="9" xfId="1" applyFont="1" applyBorder="1" applyAlignment="1">
      <alignment wrapText="1"/>
    </xf>
    <xf numFmtId="9" fontId="22" fillId="0" borderId="9" xfId="1" applyFont="1" applyBorder="1" applyAlignment="1">
      <alignment wrapText="1"/>
    </xf>
    <xf numFmtId="3" fontId="20" fillId="0" borderId="9" xfId="0" applyNumberFormat="1" applyFont="1" applyBorder="1" applyAlignment="1">
      <alignment horizontal="right" wrapText="1"/>
    </xf>
    <xf numFmtId="3" fontId="22" fillId="0" borderId="9" xfId="0" applyNumberFormat="1" applyFont="1" applyBorder="1" applyAlignment="1">
      <alignment horizontal="right" wrapText="1"/>
    </xf>
    <xf numFmtId="0" fontId="20" fillId="0" borderId="9" xfId="0" applyFont="1" applyBorder="1" applyAlignment="1">
      <alignment horizontal="right" wrapText="1"/>
    </xf>
    <xf numFmtId="9" fontId="20" fillId="0" borderId="9" xfId="1" applyFont="1" applyBorder="1" applyAlignment="1">
      <alignment horizontal="right" wrapText="1"/>
    </xf>
    <xf numFmtId="1" fontId="20" fillId="0" borderId="0" xfId="0" applyNumberFormat="1" applyFont="1" applyAlignment="1">
      <alignment horizontal="right" vertical="center"/>
    </xf>
    <xf numFmtId="0" fontId="20" fillId="0" borderId="0" xfId="0" applyFont="1" applyAlignment="1">
      <alignment horizontal="left" wrapText="1"/>
    </xf>
    <xf numFmtId="1" fontId="19" fillId="0" borderId="0" xfId="0" applyNumberFormat="1" applyFont="1"/>
    <xf numFmtId="0" fontId="18" fillId="0" borderId="0" xfId="2" applyFont="1" applyBorder="1" applyAlignment="1">
      <alignment horizontal="left" wrapText="1"/>
    </xf>
    <xf numFmtId="0" fontId="18" fillId="0" borderId="0" xfId="2" applyFont="1" applyBorder="1" applyAlignment="1">
      <alignment horizontal="left"/>
    </xf>
    <xf numFmtId="0" fontId="7" fillId="9" borderId="0" xfId="3" applyFont="1" applyFill="1" applyAlignment="1">
      <alignment horizontal="left" vertical="center"/>
    </xf>
    <xf numFmtId="0" fontId="7" fillId="9" borderId="0" xfId="0" applyFont="1" applyFill="1" applyAlignment="1">
      <alignment horizontal="left"/>
    </xf>
    <xf numFmtId="3" fontId="20" fillId="0" borderId="9" xfId="0" applyNumberFormat="1" applyFont="1" applyBorder="1" applyAlignment="1">
      <alignment horizontal="right" vertical="top" wrapText="1"/>
    </xf>
    <xf numFmtId="0" fontId="20" fillId="0" borderId="2" xfId="0" applyFont="1" applyBorder="1" applyAlignment="1">
      <alignment horizontal="right" vertical="center" wrapText="1"/>
    </xf>
    <xf numFmtId="0" fontId="20" fillId="0" borderId="24" xfId="0" applyFont="1" applyBorder="1" applyAlignment="1">
      <alignment vertical="center" wrapText="1"/>
    </xf>
    <xf numFmtId="0" fontId="20" fillId="0" borderId="25" xfId="0" applyFont="1" applyBorder="1" applyAlignment="1">
      <alignment horizontal="left" vertical="top" wrapText="1"/>
    </xf>
    <xf numFmtId="0" fontId="20" fillId="0" borderId="30" xfId="0" applyFont="1" applyBorder="1" applyAlignment="1">
      <alignment horizontal="left" vertical="top" wrapText="1"/>
    </xf>
    <xf numFmtId="0" fontId="20" fillId="0" borderId="30" xfId="0" applyFont="1" applyBorder="1" applyAlignment="1">
      <alignment vertical="top" wrapText="1"/>
    </xf>
    <xf numFmtId="9" fontId="20" fillId="2" borderId="11" xfId="1" applyFont="1" applyFill="1" applyBorder="1" applyAlignment="1">
      <alignment horizontal="right" vertical="center" wrapText="1"/>
    </xf>
    <xf numFmtId="9" fontId="20" fillId="2" borderId="11" xfId="1" applyFont="1" applyFill="1" applyBorder="1" applyAlignment="1">
      <alignment horizontal="right" vertical="center"/>
    </xf>
    <xf numFmtId="0" fontId="20" fillId="0" borderId="0" xfId="0" applyFont="1" applyAlignment="1">
      <alignment vertical="center"/>
    </xf>
    <xf numFmtId="3" fontId="22" fillId="2" borderId="9" xfId="0" applyNumberFormat="1" applyFont="1" applyFill="1" applyBorder="1" applyAlignment="1">
      <alignment horizontal="left" vertical="top"/>
    </xf>
    <xf numFmtId="0" fontId="20" fillId="0" borderId="9" xfId="0" applyFont="1" applyBorder="1" applyAlignment="1">
      <alignment horizontal="left" wrapText="1" indent="2"/>
    </xf>
    <xf numFmtId="3" fontId="20" fillId="0" borderId="9" xfId="0" applyNumberFormat="1" applyFont="1" applyBorder="1" applyAlignment="1">
      <alignment vertical="center" wrapText="1"/>
    </xf>
    <xf numFmtId="3" fontId="20" fillId="3" borderId="9" xfId="0" applyNumberFormat="1" applyFont="1" applyFill="1" applyBorder="1" applyAlignment="1">
      <alignment wrapText="1"/>
    </xf>
    <xf numFmtId="3" fontId="20" fillId="0" borderId="9" xfId="0" applyNumberFormat="1" applyFont="1" applyBorder="1" applyAlignment="1">
      <alignment wrapText="1"/>
    </xf>
    <xf numFmtId="3" fontId="22" fillId="2" borderId="9" xfId="0" applyNumberFormat="1" applyFont="1" applyFill="1" applyBorder="1" applyAlignment="1">
      <alignment vertical="top" wrapText="1"/>
    </xf>
    <xf numFmtId="3" fontId="20" fillId="3" borderId="9" xfId="0" applyNumberFormat="1" applyFont="1" applyFill="1" applyBorder="1" applyAlignment="1">
      <alignment vertical="top" wrapText="1"/>
    </xf>
    <xf numFmtId="3" fontId="22" fillId="12" borderId="9" xfId="0" applyNumberFormat="1" applyFont="1" applyFill="1" applyBorder="1" applyAlignment="1">
      <alignment wrapText="1"/>
    </xf>
    <xf numFmtId="3" fontId="20" fillId="3" borderId="9" xfId="0" applyNumberFormat="1" applyFont="1" applyFill="1" applyBorder="1" applyAlignment="1">
      <alignment horizontal="right" wrapText="1"/>
    </xf>
    <xf numFmtId="0" fontId="14" fillId="0" borderId="0" xfId="0" applyFont="1"/>
    <xf numFmtId="0" fontId="20" fillId="0" borderId="8" xfId="0" applyFont="1" applyBorder="1" applyAlignment="1">
      <alignment horizontal="left" vertical="center" wrapText="1"/>
    </xf>
    <xf numFmtId="0" fontId="7" fillId="9" borderId="32" xfId="0" applyFont="1" applyFill="1" applyBorder="1" applyAlignment="1">
      <alignment vertical="center" wrapText="1"/>
    </xf>
    <xf numFmtId="0" fontId="20" fillId="0" borderId="6" xfId="0" applyFont="1" applyBorder="1" applyAlignment="1">
      <alignment wrapText="1"/>
    </xf>
    <xf numFmtId="0" fontId="7" fillId="9" borderId="0" xfId="0" applyFont="1" applyFill="1" applyBorder="1" applyAlignment="1">
      <alignment horizontal="left" vertical="center"/>
    </xf>
    <xf numFmtId="0" fontId="10" fillId="9" borderId="0" xfId="0" applyFont="1" applyFill="1" applyBorder="1" applyAlignment="1">
      <alignment horizontal="left" vertical="center" wrapText="1"/>
    </xf>
    <xf numFmtId="0" fontId="22" fillId="2" borderId="0" xfId="0" applyFont="1" applyFill="1" applyBorder="1" applyAlignment="1">
      <alignment vertical="center"/>
    </xf>
    <xf numFmtId="1" fontId="22" fillId="2" borderId="0" xfId="0" applyNumberFormat="1" applyFont="1" applyFill="1" applyBorder="1" applyAlignment="1">
      <alignment horizontal="right" vertical="center" wrapText="1"/>
    </xf>
    <xf numFmtId="0" fontId="20" fillId="0" borderId="0" xfId="0" applyFont="1" applyBorder="1" applyAlignment="1">
      <alignment horizontal="left" vertical="center" indent="2"/>
    </xf>
    <xf numFmtId="1" fontId="20" fillId="0" borderId="0" xfId="0" applyNumberFormat="1" applyFont="1" applyBorder="1" applyAlignment="1">
      <alignment vertical="center"/>
    </xf>
    <xf numFmtId="1" fontId="20" fillId="0" borderId="0" xfId="0" applyNumberFormat="1" applyFont="1" applyBorder="1" applyAlignment="1">
      <alignment horizontal="right" vertical="center"/>
    </xf>
    <xf numFmtId="1" fontId="22" fillId="2" borderId="0" xfId="0" applyNumberFormat="1" applyFont="1" applyFill="1" applyBorder="1" applyAlignment="1">
      <alignment horizontal="right" vertical="center"/>
    </xf>
    <xf numFmtId="0" fontId="7" fillId="9" borderId="0" xfId="0" applyFont="1" applyFill="1" applyBorder="1" applyAlignment="1">
      <alignment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xf>
    <xf numFmtId="0" fontId="20" fillId="0" borderId="0" xfId="0" applyFont="1" applyBorder="1" applyAlignment="1">
      <alignment vertical="center"/>
    </xf>
    <xf numFmtId="0" fontId="22" fillId="0" borderId="0" xfId="6" applyFont="1" applyBorder="1"/>
    <xf numFmtId="0" fontId="22" fillId="0" borderId="0" xfId="6" applyFont="1" applyBorder="1" applyAlignment="1">
      <alignment horizontal="right" vertical="center"/>
    </xf>
    <xf numFmtId="0" fontId="20" fillId="0" borderId="0" xfId="0" applyFont="1" applyBorder="1" applyAlignment="1">
      <alignment horizontal="right" vertical="center" wrapText="1"/>
    </xf>
    <xf numFmtId="17" fontId="20" fillId="0" borderId="0" xfId="0" applyNumberFormat="1" applyFont="1" applyBorder="1" applyAlignment="1">
      <alignment horizontal="left" vertical="center" wrapText="1"/>
    </xf>
    <xf numFmtId="3" fontId="20" fillId="0" borderId="0" xfId="0" applyNumberFormat="1" applyFont="1" applyBorder="1" applyAlignment="1">
      <alignment horizontal="right" vertical="center" wrapText="1"/>
    </xf>
    <xf numFmtId="0" fontId="0" fillId="0" borderId="0" xfId="0" applyBorder="1"/>
    <xf numFmtId="1" fontId="0" fillId="0" borderId="0" xfId="0" applyNumberFormat="1" applyBorder="1"/>
    <xf numFmtId="0" fontId="13" fillId="0" borderId="0" xfId="0" applyFont="1" applyBorder="1" applyAlignment="1">
      <alignment wrapText="1"/>
    </xf>
    <xf numFmtId="0" fontId="7" fillId="9" borderId="0" xfId="0" applyFont="1" applyFill="1" applyBorder="1" applyAlignment="1">
      <alignment horizontal="left"/>
    </xf>
    <xf numFmtId="0" fontId="20" fillId="0" borderId="0" xfId="0" applyFont="1" applyBorder="1" applyAlignment="1">
      <alignment wrapText="1"/>
    </xf>
    <xf numFmtId="3" fontId="20" fillId="0" borderId="0" xfId="0" applyNumberFormat="1" applyFont="1" applyBorder="1" applyAlignment="1">
      <alignment horizontal="right" vertical="top" wrapText="1"/>
    </xf>
    <xf numFmtId="1" fontId="20" fillId="0" borderId="0" xfId="0" applyNumberFormat="1" applyFont="1" applyBorder="1" applyAlignment="1">
      <alignment horizontal="right" vertical="top" wrapText="1"/>
    </xf>
    <xf numFmtId="3" fontId="22" fillId="2" borderId="0" xfId="0" applyNumberFormat="1" applyFont="1" applyFill="1" applyBorder="1" applyAlignment="1">
      <alignment horizontal="right" vertical="top"/>
    </xf>
    <xf numFmtId="1" fontId="20" fillId="0" borderId="0" xfId="0" applyNumberFormat="1" applyFont="1" applyBorder="1" applyAlignment="1">
      <alignment horizontal="right" vertical="center" wrapText="1"/>
    </xf>
    <xf numFmtId="3" fontId="20" fillId="7" borderId="0" xfId="0" applyNumberFormat="1" applyFont="1" applyFill="1" applyBorder="1" applyAlignment="1">
      <alignment horizontal="right" vertical="center" wrapText="1"/>
    </xf>
    <xf numFmtId="0" fontId="20" fillId="0" borderId="0" xfId="0" applyFont="1" applyBorder="1" applyAlignment="1">
      <alignment horizontal="right" vertical="top" wrapText="1"/>
    </xf>
    <xf numFmtId="3" fontId="20" fillId="0" borderId="0" xfId="0" applyNumberFormat="1" applyFont="1" applyBorder="1" applyAlignment="1">
      <alignment horizontal="right" vertical="center"/>
    </xf>
    <xf numFmtId="3" fontId="20" fillId="7" borderId="0" xfId="0" applyNumberFormat="1" applyFont="1" applyFill="1" applyBorder="1" applyAlignment="1">
      <alignment horizontal="right" vertical="center"/>
    </xf>
    <xf numFmtId="9" fontId="20" fillId="0" borderId="0" xfId="1" applyFont="1" applyFill="1" applyBorder="1" applyAlignment="1">
      <alignment horizontal="right" vertical="top" wrapText="1"/>
    </xf>
    <xf numFmtId="9" fontId="22" fillId="2" borderId="0" xfId="1" applyFont="1" applyFill="1" applyBorder="1" applyAlignment="1">
      <alignment horizontal="right" vertical="top"/>
    </xf>
    <xf numFmtId="9" fontId="20" fillId="0" borderId="0" xfId="1" applyFont="1" applyFill="1" applyBorder="1" applyAlignment="1">
      <alignment horizontal="right" vertical="center" wrapText="1"/>
    </xf>
    <xf numFmtId="9" fontId="22" fillId="2" borderId="0" xfId="1" applyFont="1" applyFill="1" applyBorder="1" applyAlignment="1">
      <alignment horizontal="right" vertical="center"/>
    </xf>
    <xf numFmtId="0" fontId="7" fillId="0" borderId="0" xfId="0" applyFont="1" applyBorder="1" applyAlignment="1">
      <alignment wrapText="1"/>
    </xf>
    <xf numFmtId="0" fontId="5" fillId="0" borderId="0" xfId="0" applyFont="1" applyBorder="1" applyAlignment="1">
      <alignment horizontal="left" wrapText="1"/>
    </xf>
    <xf numFmtId="0" fontId="7" fillId="12" borderId="0" xfId="0" applyFont="1" applyFill="1" applyBorder="1" applyAlignment="1">
      <alignment horizontal="left" vertical="center" wrapText="1"/>
    </xf>
    <xf numFmtId="0" fontId="7" fillId="12" borderId="0" xfId="0" applyFont="1" applyFill="1" applyBorder="1" applyAlignment="1">
      <alignment wrapText="1"/>
    </xf>
    <xf numFmtId="0" fontId="7" fillId="9" borderId="9" xfId="0" applyFont="1" applyFill="1" applyBorder="1" applyAlignment="1">
      <alignment horizontal="left"/>
    </xf>
    <xf numFmtId="0" fontId="7" fillId="0" borderId="0" xfId="0" applyFont="1" applyBorder="1" applyAlignment="1">
      <alignment horizontal="left" wrapText="1"/>
    </xf>
    <xf numFmtId="0" fontId="7" fillId="12" borderId="4" xfId="0" applyFont="1" applyFill="1" applyBorder="1" applyAlignment="1">
      <alignment wrapText="1"/>
    </xf>
    <xf numFmtId="0" fontId="7" fillId="12" borderId="2" xfId="0" applyFont="1" applyFill="1" applyBorder="1" applyAlignment="1">
      <alignment wrapText="1"/>
    </xf>
    <xf numFmtId="0" fontId="7" fillId="12" borderId="5" xfId="0" applyFont="1" applyFill="1" applyBorder="1" applyAlignment="1">
      <alignment wrapText="1"/>
    </xf>
    <xf numFmtId="0" fontId="22" fillId="2" borderId="12" xfId="0" applyFont="1" applyFill="1" applyBorder="1" applyAlignment="1">
      <alignment wrapText="1"/>
    </xf>
    <xf numFmtId="1" fontId="22" fillId="2" borderId="3" xfId="0" applyNumberFormat="1" applyFont="1" applyFill="1" applyBorder="1" applyAlignment="1">
      <alignment horizontal="right" wrapText="1"/>
    </xf>
    <xf numFmtId="1" fontId="22" fillId="2" borderId="3" xfId="0" applyNumberFormat="1" applyFont="1" applyFill="1" applyBorder="1" applyAlignment="1">
      <alignment horizontal="right"/>
    </xf>
    <xf numFmtId="0" fontId="22" fillId="2" borderId="13" xfId="0" applyFont="1" applyFill="1" applyBorder="1" applyAlignment="1">
      <alignment horizontal="right"/>
    </xf>
    <xf numFmtId="1" fontId="20" fillId="0" borderId="7" xfId="0" applyNumberFormat="1" applyFont="1" applyBorder="1" applyAlignment="1">
      <alignment horizontal="right" wrapText="1"/>
    </xf>
    <xf numFmtId="1" fontId="20" fillId="3" borderId="7" xfId="0" applyNumberFormat="1" applyFont="1" applyFill="1" applyBorder="1" applyAlignment="1">
      <alignment horizontal="right" wrapText="1"/>
    </xf>
    <xf numFmtId="1" fontId="20" fillId="0" borderId="7" xfId="0" applyNumberFormat="1" applyFont="1" applyBorder="1" applyAlignment="1">
      <alignment horizontal="right"/>
    </xf>
    <xf numFmtId="1" fontId="20" fillId="3" borderId="7" xfId="0" applyNumberFormat="1" applyFont="1" applyFill="1" applyBorder="1" applyAlignment="1">
      <alignment horizontal="right"/>
    </xf>
    <xf numFmtId="0" fontId="20" fillId="0" borderId="8" xfId="0" applyFont="1" applyBorder="1" applyAlignment="1">
      <alignment horizontal="right"/>
    </xf>
    <xf numFmtId="0" fontId="22" fillId="2" borderId="6" xfId="0" applyFont="1" applyFill="1" applyBorder="1" applyAlignment="1">
      <alignment wrapText="1"/>
    </xf>
    <xf numFmtId="1" fontId="22" fillId="2" borderId="7" xfId="0" applyNumberFormat="1" applyFont="1" applyFill="1" applyBorder="1" applyAlignment="1">
      <alignment horizontal="right" wrapText="1"/>
    </xf>
    <xf numFmtId="1" fontId="22" fillId="2" borderId="7" xfId="0" applyNumberFormat="1" applyFont="1" applyFill="1" applyBorder="1" applyAlignment="1">
      <alignment horizontal="right"/>
    </xf>
    <xf numFmtId="0" fontId="22" fillId="2" borderId="8" xfId="0" applyFont="1" applyFill="1" applyBorder="1" applyAlignment="1">
      <alignment horizontal="right"/>
    </xf>
    <xf numFmtId="0" fontId="7" fillId="12" borderId="6" xfId="0" applyFont="1" applyFill="1" applyBorder="1" applyAlignment="1">
      <alignment wrapText="1"/>
    </xf>
    <xf numFmtId="1" fontId="7" fillId="12" borderId="7" xfId="0" applyNumberFormat="1" applyFont="1" applyFill="1" applyBorder="1" applyAlignment="1">
      <alignment horizontal="right" wrapText="1"/>
    </xf>
    <xf numFmtId="0" fontId="7" fillId="12" borderId="8" xfId="0" applyFont="1" applyFill="1" applyBorder="1" applyAlignment="1">
      <alignment horizontal="right" wrapText="1"/>
    </xf>
    <xf numFmtId="0" fontId="20" fillId="0" borderId="6" xfId="0" applyFont="1" applyBorder="1" applyAlignment="1">
      <alignment vertical="top" wrapText="1"/>
    </xf>
    <xf numFmtId="1" fontId="20" fillId="0" borderId="7" xfId="0" applyNumberFormat="1" applyFont="1" applyBorder="1" applyAlignment="1">
      <alignment horizontal="right" vertical="top" wrapText="1"/>
    </xf>
    <xf numFmtId="1" fontId="20" fillId="3" borderId="7" xfId="0" applyNumberFormat="1" applyFont="1" applyFill="1" applyBorder="1" applyAlignment="1">
      <alignment horizontal="right" vertical="top" wrapText="1"/>
    </xf>
    <xf numFmtId="0" fontId="20" fillId="0" borderId="8" xfId="0" applyFont="1" applyBorder="1" applyAlignment="1">
      <alignment horizontal="right" vertical="top" wrapText="1"/>
    </xf>
    <xf numFmtId="0" fontId="20" fillId="5" borderId="7" xfId="0" applyFont="1" applyFill="1" applyBorder="1" applyAlignment="1">
      <alignment horizontal="left" vertical="center"/>
    </xf>
    <xf numFmtId="0" fontId="7" fillId="13" borderId="6" xfId="0" applyFont="1" applyFill="1" applyBorder="1" applyAlignment="1">
      <alignment horizontal="left" vertical="center"/>
    </xf>
    <xf numFmtId="0" fontId="8" fillId="13" borderId="7" xfId="0" applyFont="1" applyFill="1" applyBorder="1" applyAlignment="1">
      <alignment horizontal="left" vertical="center"/>
    </xf>
    <xf numFmtId="0" fontId="7" fillId="13" borderId="7" xfId="0" applyFont="1" applyFill="1" applyBorder="1" applyAlignment="1">
      <alignment horizontal="left" vertical="center"/>
    </xf>
    <xf numFmtId="0" fontId="7" fillId="13" borderId="8" xfId="0" applyFont="1" applyFill="1" applyBorder="1" applyAlignment="1">
      <alignment horizontal="left" vertical="center"/>
    </xf>
    <xf numFmtId="0" fontId="7" fillId="9" borderId="0" xfId="0" applyFont="1" applyFill="1" applyBorder="1" applyAlignment="1">
      <alignment vertical="center"/>
    </xf>
    <xf numFmtId="1" fontId="22" fillId="0" borderId="0" xfId="0" applyNumberFormat="1" applyFont="1" applyBorder="1" applyAlignment="1">
      <alignment horizontal="right" vertical="center"/>
    </xf>
    <xf numFmtId="2" fontId="22" fillId="2" borderId="0" xfId="0" applyNumberFormat="1" applyFont="1" applyFill="1" applyBorder="1" applyAlignment="1">
      <alignment vertical="center"/>
    </xf>
    <xf numFmtId="1" fontId="22" fillId="2" borderId="0" xfId="0" applyNumberFormat="1" applyFont="1" applyFill="1" applyBorder="1" applyAlignment="1">
      <alignment vertical="center"/>
    </xf>
    <xf numFmtId="0" fontId="22" fillId="0" borderId="0" xfId="6" applyFont="1" applyFill="1" applyBorder="1" applyAlignment="1">
      <alignment horizontal="left" vertical="center" indent="2"/>
    </xf>
    <xf numFmtId="1" fontId="22" fillId="0" borderId="0" xfId="6" applyNumberFormat="1" applyFont="1" applyFill="1" applyBorder="1" applyAlignment="1">
      <alignment horizontal="center" vertical="center"/>
    </xf>
    <xf numFmtId="1" fontId="22" fillId="0" borderId="0" xfId="6" applyNumberFormat="1" applyFont="1" applyFill="1" applyBorder="1" applyAlignment="1">
      <alignment horizontal="right" vertical="center"/>
    </xf>
    <xf numFmtId="0" fontId="7" fillId="9" borderId="0" xfId="0" applyFont="1" applyFill="1" applyBorder="1" applyAlignment="1">
      <alignment horizontal="left" vertical="center" wrapText="1"/>
    </xf>
    <xf numFmtId="1" fontId="20" fillId="5" borderId="0" xfId="0" applyNumberFormat="1" applyFont="1" applyFill="1" applyBorder="1" applyAlignment="1">
      <alignment horizontal="right" vertical="center"/>
    </xf>
    <xf numFmtId="0" fontId="19" fillId="0" borderId="0" xfId="0" applyFont="1" applyBorder="1" applyAlignment="1">
      <alignment horizontal="right"/>
    </xf>
    <xf numFmtId="2" fontId="20" fillId="0" borderId="0" xfId="0" applyNumberFormat="1" applyFont="1" applyBorder="1" applyAlignment="1">
      <alignment horizontal="right" vertical="center" wrapText="1"/>
    </xf>
    <xf numFmtId="2" fontId="22" fillId="0" borderId="0" xfId="6" applyNumberFormat="1" applyFont="1" applyBorder="1" applyAlignment="1">
      <alignment horizontal="right"/>
    </xf>
    <xf numFmtId="2" fontId="22" fillId="0" borderId="0" xfId="6" applyNumberFormat="1" applyFont="1" applyFill="1" applyBorder="1"/>
    <xf numFmtId="9" fontId="20" fillId="0" borderId="0" xfId="0" applyNumberFormat="1" applyFont="1" applyBorder="1" applyAlignment="1">
      <alignment horizontal="right" vertical="center" wrapText="1"/>
    </xf>
    <xf numFmtId="9" fontId="20" fillId="0" borderId="0" xfId="0" applyNumberFormat="1" applyFont="1" applyBorder="1" applyAlignment="1">
      <alignment horizontal="right" vertical="center"/>
    </xf>
    <xf numFmtId="0" fontId="21" fillId="0" borderId="23" xfId="5" applyFont="1" applyBorder="1" applyAlignment="1">
      <alignment horizontal="left"/>
    </xf>
    <xf numFmtId="0" fontId="20" fillId="0" borderId="0" xfId="0" applyFont="1" applyAlignment="1">
      <alignment horizontal="left" vertical="top" wrapText="1"/>
    </xf>
    <xf numFmtId="0" fontId="21" fillId="0" borderId="0" xfId="5" applyFont="1" applyBorder="1" applyAlignment="1">
      <alignment horizontal="left"/>
    </xf>
    <xf numFmtId="0" fontId="20" fillId="0" borderId="22" xfId="0" applyFont="1" applyBorder="1" applyAlignment="1">
      <alignment horizontal="left" vertical="top" wrapText="1"/>
    </xf>
    <xf numFmtId="0" fontId="38" fillId="0" borderId="32" xfId="5" applyFont="1" applyBorder="1" applyAlignment="1">
      <alignment horizontal="left"/>
    </xf>
    <xf numFmtId="0" fontId="18" fillId="0" borderId="32" xfId="2" applyFont="1" applyBorder="1" applyAlignment="1">
      <alignment horizontal="left" wrapText="1"/>
    </xf>
    <xf numFmtId="0" fontId="18" fillId="0" borderId="32" xfId="2" applyFont="1" applyBorder="1" applyAlignment="1">
      <alignment horizontal="left"/>
    </xf>
    <xf numFmtId="0" fontId="20" fillId="2" borderId="14" xfId="0" applyFont="1" applyFill="1" applyBorder="1" applyAlignment="1">
      <alignment vertical="center" wrapText="1"/>
    </xf>
    <xf numFmtId="0" fontId="20" fillId="2" borderId="0" xfId="0" applyFont="1" applyFill="1" applyAlignment="1">
      <alignment vertical="center" wrapText="1"/>
    </xf>
    <xf numFmtId="0" fontId="20" fillId="2" borderId="15" xfId="0" applyFont="1" applyFill="1" applyBorder="1" applyAlignment="1">
      <alignment vertical="center" wrapText="1"/>
    </xf>
    <xf numFmtId="0" fontId="20" fillId="0" borderId="14"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15" xfId="0" applyFont="1" applyBorder="1" applyAlignment="1">
      <alignment horizontal="right" vertical="center" wrapText="1"/>
    </xf>
    <xf numFmtId="0" fontId="20" fillId="0" borderId="24" xfId="0" applyFont="1" applyBorder="1" applyAlignment="1">
      <alignment horizontal="left" vertical="top"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0" borderId="31" xfId="0" applyFont="1" applyBorder="1" applyAlignment="1">
      <alignment horizontal="left" vertical="center" wrapText="1"/>
    </xf>
    <xf numFmtId="0" fontId="20" fillId="0" borderId="26" xfId="0" applyFont="1" applyBorder="1" applyAlignment="1">
      <alignment horizontal="left" vertical="top" wrapText="1"/>
    </xf>
    <xf numFmtId="0" fontId="20" fillId="0" borderId="28" xfId="0" applyFont="1" applyBorder="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wrapText="1"/>
    </xf>
    <xf numFmtId="0" fontId="20" fillId="0" borderId="0" xfId="0" applyFont="1" applyAlignment="1">
      <alignment horizontal="left"/>
    </xf>
    <xf numFmtId="0" fontId="22" fillId="0" borderId="12" xfId="0" applyFont="1" applyBorder="1" applyAlignment="1">
      <alignment vertical="center" wrapText="1"/>
    </xf>
    <xf numFmtId="0" fontId="22" fillId="0" borderId="3" xfId="0" applyFont="1" applyBorder="1" applyAlignment="1">
      <alignment vertical="center" wrapText="1"/>
    </xf>
    <xf numFmtId="0" fontId="22" fillId="0" borderId="3"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0" xfId="0" applyFont="1" applyAlignment="1">
      <alignment horizontal="left" wrapText="1"/>
    </xf>
    <xf numFmtId="0" fontId="20" fillId="5" borderId="0" xfId="0" applyFont="1" applyFill="1" applyAlignment="1">
      <alignment vertical="center" wrapText="1"/>
    </xf>
    <xf numFmtId="0" fontId="20" fillId="5" borderId="0" xfId="0" applyFont="1" applyFill="1" applyAlignment="1">
      <alignment vertical="center"/>
    </xf>
    <xf numFmtId="0" fontId="20" fillId="0" borderId="5" xfId="0" applyFont="1" applyBorder="1" applyAlignment="1">
      <alignment horizontal="left" vertical="center" wrapText="1"/>
    </xf>
    <xf numFmtId="0" fontId="20" fillId="0" borderId="13"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vertical="center"/>
    </xf>
    <xf numFmtId="0" fontId="22" fillId="0" borderId="9" xfId="0" applyFont="1" applyBorder="1" applyAlignment="1">
      <alignment vertical="center" wrapText="1"/>
    </xf>
    <xf numFmtId="0" fontId="7" fillId="9" borderId="9"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3" fontId="20" fillId="0" borderId="9" xfId="0" applyNumberFormat="1" applyFont="1" applyBorder="1" applyAlignment="1">
      <alignment horizontal="center" vertical="center" wrapText="1"/>
    </xf>
    <xf numFmtId="2" fontId="20" fillId="2" borderId="9" xfId="0" applyNumberFormat="1" applyFont="1" applyFill="1" applyBorder="1" applyAlignment="1">
      <alignment horizontal="center" vertical="center" wrapText="1"/>
    </xf>
    <xf numFmtId="0" fontId="22" fillId="2" borderId="6"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0" fillId="0" borderId="2" xfId="0" applyFont="1" applyBorder="1" applyAlignment="1">
      <alignment horizontal="left" vertical="top" wrapText="1"/>
    </xf>
    <xf numFmtId="0" fontId="22" fillId="0" borderId="18" xfId="6" applyFont="1" applyFill="1" applyAlignment="1">
      <alignment horizontal="left" vertical="top" wrapText="1"/>
    </xf>
    <xf numFmtId="0" fontId="31" fillId="0" borderId="0" xfId="0" applyFont="1" applyAlignment="1">
      <alignment horizontal="left" vertical="center" wrapText="1"/>
    </xf>
    <xf numFmtId="0" fontId="20" fillId="0" borderId="0" xfId="0" applyFont="1" applyAlignment="1">
      <alignment horizontal="left" vertical="top"/>
    </xf>
    <xf numFmtId="0" fontId="32" fillId="0" borderId="0" xfId="4" applyFont="1" applyFill="1" applyBorder="1" applyAlignment="1">
      <alignment horizontal="left" vertical="center" wrapText="1" indent="2"/>
    </xf>
    <xf numFmtId="0" fontId="37" fillId="0" borderId="0" xfId="0" applyFont="1" applyAlignment="1">
      <alignment vertical="top" wrapText="1"/>
    </xf>
    <xf numFmtId="0" fontId="37" fillId="0" borderId="0" xfId="0" applyFont="1" applyAlignment="1">
      <alignment vertical="top"/>
    </xf>
    <xf numFmtId="0" fontId="37" fillId="0" borderId="9" xfId="0" applyFont="1" applyBorder="1" applyAlignment="1">
      <alignment horizontal="right" vertical="center"/>
    </xf>
    <xf numFmtId="0" fontId="36" fillId="0" borderId="9" xfId="0" applyFont="1" applyBorder="1" applyAlignment="1">
      <alignment horizontal="right" vertical="center"/>
    </xf>
    <xf numFmtId="0" fontId="33" fillId="0" borderId="32" xfId="2" applyFont="1" applyBorder="1" applyAlignment="1">
      <alignment horizontal="left" wrapText="1"/>
    </xf>
    <xf numFmtId="0" fontId="33" fillId="0" borderId="32" xfId="2" applyFont="1" applyBorder="1" applyAlignment="1">
      <alignment horizontal="left"/>
    </xf>
    <xf numFmtId="0" fontId="36" fillId="0" borderId="0" xfId="0" applyFont="1" applyAlignment="1">
      <alignment vertical="center"/>
    </xf>
    <xf numFmtId="0" fontId="34" fillId="0" borderId="0" xfId="0" applyFont="1" applyAlignment="1"/>
    <xf numFmtId="0" fontId="7" fillId="9" borderId="9" xfId="0" applyFont="1" applyFill="1" applyBorder="1" applyAlignment="1">
      <alignment horizontal="left" vertical="center"/>
    </xf>
    <xf numFmtId="0" fontId="36" fillId="0" borderId="9" xfId="0" applyFont="1" applyBorder="1" applyAlignment="1">
      <alignment vertical="center"/>
    </xf>
    <xf numFmtId="0" fontId="36" fillId="8" borderId="9" xfId="0" applyFont="1" applyFill="1" applyBorder="1" applyAlignment="1">
      <alignment horizontal="left" vertical="center" wrapText="1"/>
    </xf>
    <xf numFmtId="0" fontId="7" fillId="9" borderId="9" xfId="0" applyFont="1" applyFill="1" applyBorder="1" applyAlignment="1">
      <alignment vertical="center" wrapText="1"/>
    </xf>
    <xf numFmtId="0" fontId="7" fillId="9" borderId="9" xfId="0" applyFont="1" applyFill="1" applyBorder="1" applyAlignment="1">
      <alignment horizontal="left" vertical="center" wrapText="1"/>
    </xf>
    <xf numFmtId="0" fontId="37" fillId="0" borderId="9" xfId="0" applyFont="1" applyBorder="1" applyAlignment="1">
      <alignment horizontal="right" vertical="center" wrapText="1"/>
    </xf>
    <xf numFmtId="10" fontId="37" fillId="0" borderId="9" xfId="0" applyNumberFormat="1" applyFont="1" applyBorder="1" applyAlignment="1">
      <alignment horizontal="right" vertical="center" wrapText="1"/>
    </xf>
    <xf numFmtId="0" fontId="37" fillId="0" borderId="0" xfId="0" applyFont="1" applyAlignment="1">
      <alignment horizontal="left" vertical="center" wrapText="1" indent="2"/>
    </xf>
    <xf numFmtId="0" fontId="36" fillId="5" borderId="0" xfId="0" applyFont="1" applyFill="1" applyAlignment="1">
      <alignment horizontal="left" vertical="center" wrapText="1"/>
    </xf>
    <xf numFmtId="0" fontId="36" fillId="5" borderId="0" xfId="0" applyFont="1" applyFill="1" applyAlignment="1">
      <alignment vertical="center" wrapText="1"/>
    </xf>
    <xf numFmtId="0" fontId="37" fillId="0" borderId="0" xfId="0" applyFont="1" applyAlignment="1">
      <alignment vertical="center" wrapText="1"/>
    </xf>
    <xf numFmtId="10" fontId="37" fillId="0" borderId="9" xfId="0" applyNumberFormat="1" applyFont="1" applyBorder="1" applyAlignment="1">
      <alignment horizontal="right" vertical="center"/>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0" fontId="37" fillId="0" borderId="6" xfId="0" applyFont="1" applyBorder="1" applyAlignment="1">
      <alignment horizontal="right" vertical="center"/>
    </xf>
    <xf numFmtId="0" fontId="37" fillId="0" borderId="8" xfId="0" applyFont="1" applyBorder="1" applyAlignment="1">
      <alignment horizontal="right" vertical="center"/>
    </xf>
    <xf numFmtId="0" fontId="36" fillId="0" borderId="6" xfId="0" applyFont="1" applyBorder="1" applyAlignment="1">
      <alignment horizontal="right" vertical="center"/>
    </xf>
    <xf numFmtId="0" fontId="36" fillId="0" borderId="8" xfId="0" applyFont="1" applyBorder="1" applyAlignment="1">
      <alignment horizontal="right" vertical="center"/>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9" xfId="0" applyFont="1" applyFill="1" applyBorder="1" applyAlignment="1">
      <alignment horizontal="center" wrapText="1"/>
    </xf>
    <xf numFmtId="0" fontId="18" fillId="0" borderId="1" xfId="2" applyFont="1" applyAlignment="1">
      <alignment horizontal="left" wrapText="1"/>
    </xf>
    <xf numFmtId="0" fontId="18" fillId="0" borderId="1" xfId="2" applyFont="1" applyAlignment="1">
      <alignment horizontal="left"/>
    </xf>
    <xf numFmtId="0" fontId="20" fillId="0" borderId="15" xfId="0" applyFont="1" applyBorder="1" applyAlignment="1">
      <alignment vertical="center" wrapText="1"/>
    </xf>
    <xf numFmtId="0" fontId="20" fillId="4" borderId="0" xfId="0" quotePrefix="1" applyFont="1" applyFill="1" applyAlignment="1">
      <alignment vertical="center" wrapText="1"/>
    </xf>
    <xf numFmtId="0" fontId="20" fillId="4" borderId="15" xfId="0" applyFont="1" applyFill="1" applyBorder="1" applyAlignment="1">
      <alignment vertical="center" wrapText="1"/>
    </xf>
    <xf numFmtId="0" fontId="20" fillId="4" borderId="0" xfId="0" applyFont="1" applyFill="1" applyAlignment="1">
      <alignment vertical="center" wrapText="1"/>
    </xf>
    <xf numFmtId="0" fontId="20" fillId="0" borderId="3" xfId="0" applyFont="1" applyBorder="1" applyAlignment="1">
      <alignment vertical="center" wrapText="1"/>
    </xf>
    <xf numFmtId="0" fontId="20" fillId="0" borderId="13" xfId="0" applyFont="1" applyBorder="1" applyAlignment="1">
      <alignment vertical="center" wrapText="1"/>
    </xf>
    <xf numFmtId="0" fontId="20" fillId="0" borderId="0" xfId="0" applyFont="1" applyAlignment="1">
      <alignment vertical="center"/>
    </xf>
    <xf numFmtId="0" fontId="20" fillId="0" borderId="0" xfId="0" applyFont="1" applyAlignment="1">
      <alignment horizontal="left" vertical="center" indent="2"/>
    </xf>
    <xf numFmtId="0" fontId="20" fillId="0" borderId="20" xfId="0" applyFont="1" applyBorder="1" applyAlignment="1">
      <alignment horizontal="left" vertical="center" wrapText="1"/>
    </xf>
    <xf numFmtId="0" fontId="20" fillId="0" borderId="0" xfId="0" applyFont="1" applyAlignment="1">
      <alignment vertical="top" wrapText="1"/>
    </xf>
    <xf numFmtId="0" fontId="20" fillId="0" borderId="0" xfId="0" applyFont="1" applyAlignment="1">
      <alignment horizontal="left" vertical="center" wrapText="1" indent="5"/>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0" borderId="2" xfId="0" applyFont="1" applyBorder="1" applyAlignment="1">
      <alignment horizontal="left" wrapText="1"/>
    </xf>
    <xf numFmtId="0" fontId="7" fillId="12" borderId="0" xfId="0" applyFont="1" applyFill="1" applyBorder="1" applyAlignment="1">
      <alignment horizontal="left" vertical="center" wrapText="1"/>
    </xf>
    <xf numFmtId="0" fontId="7" fillId="12" borderId="0" xfId="0" applyFont="1" applyFill="1" applyBorder="1" applyAlignment="1">
      <alignment horizontal="center" wrapText="1"/>
    </xf>
    <xf numFmtId="0" fontId="7" fillId="12" borderId="0" xfId="0" applyFont="1" applyFill="1" applyBorder="1" applyAlignment="1">
      <alignment horizontal="center"/>
    </xf>
    <xf numFmtId="0" fontId="20" fillId="0" borderId="6" xfId="0" applyFont="1" applyBorder="1" applyAlignment="1">
      <alignment horizontal="left" vertical="top"/>
    </xf>
    <xf numFmtId="0" fontId="20" fillId="0" borderId="0" xfId="0" applyFont="1" applyBorder="1" applyAlignment="1">
      <alignment horizontal="left" wrapText="1"/>
    </xf>
    <xf numFmtId="0" fontId="12" fillId="0" borderId="0" xfId="0" quotePrefix="1" applyFont="1" applyAlignment="1">
      <alignment horizontal="left" vertical="top" wrapText="1"/>
    </xf>
    <xf numFmtId="0" fontId="12" fillId="0" borderId="0" xfId="0" applyFont="1" applyAlignment="1">
      <alignment horizontal="left" vertical="top" wrapText="1"/>
    </xf>
    <xf numFmtId="0" fontId="20" fillId="0" borderId="0" xfId="0" quotePrefix="1" applyFont="1" applyAlignment="1">
      <alignment horizontal="left" vertical="top" wrapText="1"/>
    </xf>
  </cellXfs>
  <cellStyles count="7">
    <cellStyle name="Encabezado 1" xfId="2" builtinId="16"/>
    <cellStyle name="Encabezado 4" xfId="3" builtinId="19"/>
    <cellStyle name="Hipervínculo" xfId="4" builtinId="8"/>
    <cellStyle name="Normal" xfId="0" builtinId="0"/>
    <cellStyle name="Porcentaje" xfId="1" builtinId="5"/>
    <cellStyle name="Título 2" xfId="5" builtinId="17"/>
    <cellStyle name="Total" xfId="6" builtinId="25"/>
  </cellStyles>
  <dxfs count="417">
    <dxf>
      <font>
        <b/>
        <i val="0"/>
        <strike val="0"/>
        <condense val="0"/>
        <extend val="0"/>
        <outline val="0"/>
        <shadow val="0"/>
        <u val="none"/>
        <vertAlign val="baseline"/>
        <sz val="9"/>
        <color rgb="FF36256E"/>
        <name val="Calibri"/>
        <family val="2"/>
        <scheme val="minor"/>
      </font>
      <numFmt numFmtId="2" formatCode="0.00"/>
      <fill>
        <patternFill patternType="solid">
          <fgColor indexed="64"/>
          <bgColor theme="9"/>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b/>
        <i val="0"/>
        <strike val="0"/>
        <condense val="0"/>
        <extend val="0"/>
        <outline val="0"/>
        <shadow val="0"/>
        <u val="none"/>
        <vertAlign val="baseline"/>
        <sz val="9"/>
        <color rgb="FF36256E"/>
        <name val="Calibri"/>
        <family val="2"/>
        <scheme val="minor"/>
      </font>
      <numFmt numFmtId="3" formatCode="#,##0"/>
      <fill>
        <patternFill patternType="solid">
          <fgColor indexed="64"/>
          <bgColor theme="9"/>
        </patternFill>
      </fill>
      <alignment horizontal="right" vertical="top"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bottom" textRotation="0" wrapText="1" indent="0" justifyLastLine="0" shrinkToFit="0" readingOrder="0"/>
    </dxf>
    <dxf>
      <border outline="0">
        <top style="thin">
          <color theme="7"/>
        </top>
      </border>
    </dxf>
    <dxf>
      <border outline="0">
        <left style="thin">
          <color theme="7"/>
        </left>
        <right style="thin">
          <color theme="7"/>
        </right>
        <top style="thin">
          <color theme="7"/>
        </top>
        <bottom style="thin">
          <color theme="7"/>
        </bottom>
      </border>
    </dxf>
    <dxf>
      <font>
        <strike val="0"/>
        <outline val="0"/>
        <shadow val="0"/>
        <u val="none"/>
        <vertAlign val="baseline"/>
        <sz val="9"/>
        <name val="Calibri"/>
        <family val="2"/>
        <scheme val="minor"/>
      </font>
      <fill>
        <patternFill patternType="none">
          <fgColor indexed="64"/>
          <bgColor auto="1"/>
        </patternFill>
      </fill>
    </dxf>
    <dxf>
      <border outline="0">
        <bottom style="thin">
          <color theme="7"/>
        </bottom>
      </border>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bottom"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22" formatCode="mmm\-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alignment horizontal="right" vertical="center" textRotation="0" wrapText="1" indent="0" justifyLastLine="0" shrinkToFit="0" readingOrder="0"/>
    </dxf>
    <dxf>
      <font>
        <strike val="0"/>
        <outline val="0"/>
        <shadow val="0"/>
        <u val="none"/>
        <vertAlign val="baseline"/>
        <color rgb="FF36256E"/>
        <name val="Calibri"/>
        <family val="2"/>
        <scheme val="minor"/>
      </font>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strike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color rgb="FF36256E"/>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2"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2"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auto="1"/>
        </patternFill>
      </fill>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2" justifyLastLine="0" shrinkToFit="0" readingOrder="0"/>
    </dxf>
    <dxf>
      <font>
        <strike val="0"/>
        <outline val="0"/>
        <shadow val="0"/>
        <u val="none"/>
        <vertAlign val="baseline"/>
        <color rgb="FF36256E"/>
        <name val="Calibri"/>
        <family val="2"/>
        <scheme val="minor"/>
      </font>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border diagonalUp="0" diagonalDown="0">
        <left style="thin">
          <color rgb="FF36256E"/>
        </left>
        <right style="thin">
          <color rgb="FF36256E"/>
        </right>
        <top/>
        <bottom/>
        <vertical style="thin">
          <color rgb="FF36256E"/>
        </vertical>
        <horizontal style="thin">
          <color rgb="FF36256E"/>
        </horizontal>
      </border>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strike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alignment horizontal="right" textRotation="0" indent="0" justifyLastLine="0" shrinkToFit="0" readingOrder="0"/>
    </dxf>
    <dxf>
      <font>
        <b/>
        <i val="0"/>
        <strike val="0"/>
        <condense val="0"/>
        <extend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9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2"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vertAlign val="baseline"/>
        <color rgb="FF36256E"/>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13" formatCode="0%"/>
      <alignment horizontal="right" vertical="bottom" textRotation="0" wrapText="0" indent="0" justifyLastLine="0" shrinkToFit="0" readingOrder="0"/>
    </dxf>
    <dxf>
      <font>
        <strike val="0"/>
        <outline val="0"/>
        <shadow val="0"/>
        <u val="none"/>
        <vertAlign val="baseline"/>
        <sz val="9"/>
        <color rgb="FF36256E"/>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bottom"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bottom"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top"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alignment horizontal="lef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rgb="FF36256E"/>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strike val="0"/>
        <outline val="0"/>
        <shadow val="0"/>
        <u val="none"/>
        <vertAlign val="baseline"/>
        <color rgb="FF36256E"/>
      </font>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font>
    </dxf>
    <dxf>
      <border>
        <bottom style="medium">
          <color rgb="FF36256E"/>
        </bottom>
      </border>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sz val="9"/>
        <color theme="0"/>
        <name val="Calibri"/>
        <family val="2"/>
        <scheme val="minor"/>
      </font>
      <fill>
        <patternFill patternType="solid">
          <fgColor indexed="64"/>
          <bgColor rgb="FF36246E"/>
        </patternFill>
      </fill>
    </dxf>
    <dxf>
      <font>
        <strike val="0"/>
        <outline val="0"/>
        <shadow val="0"/>
        <u val="none"/>
        <vertAlign val="baseline"/>
        <sz val="9"/>
        <color rgb="FF36256E"/>
        <name val="Calibri"/>
        <family val="2"/>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strike val="0"/>
        <outline val="0"/>
        <shadow val="0"/>
        <u val="none"/>
        <vertAlign val="baseline"/>
        <sz val="9"/>
        <color rgb="FF36256E"/>
        <name val="Calibri"/>
        <family val="2"/>
        <scheme val="minor"/>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alignment horizontal="right" vertical="center" textRotation="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alignment horizontal="left" textRotation="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border diagonalUp="0" diagonalDown="0" outline="0">
        <left style="medium">
          <color rgb="FF1B587C"/>
        </left>
        <right style="medium">
          <color rgb="FF1B587C"/>
        </right>
        <top/>
        <bottom/>
      </border>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rgb="FF36256E"/>
        <family val="2"/>
      </font>
      <alignment horizontal="left"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ont>
      <alignment horizontal="left" textRotation="0" indent="0" justifyLastLine="0" shrinkToFit="0" readingOrder="0"/>
    </dxf>
    <dxf>
      <font>
        <strike val="0"/>
        <outline val="0"/>
        <shadow val="0"/>
        <u val="none"/>
        <vertAlign val="baseline"/>
        <color rgb="FF36256E"/>
        <family val="2"/>
      </font>
      <alignment horizontal="left" textRotation="0"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ont>
      <alignment horizontal="left" textRotation="0" justifyLastLine="0" shrinkToFit="0" readingOrder="0"/>
    </dxf>
    <dxf>
      <font>
        <strike val="0"/>
        <outline val="0"/>
        <shadow val="0"/>
        <u val="none"/>
        <vertAlign val="baseline"/>
        <color rgb="FF36256E"/>
        <family val="2"/>
      </font>
      <alignment horizontal="left" textRotation="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13" formatCode="0%"/>
      <alignment horizontal="lef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border diagonalUp="0" diagonalDown="0" outline="0">
        <left/>
        <right/>
        <top/>
        <bottom/>
      </border>
    </dxf>
    <dxf>
      <font>
        <strike val="0"/>
        <outline val="0"/>
        <shadow val="0"/>
        <u val="none"/>
        <vertAlign val="baseline"/>
        <color rgb="FF36256E"/>
      </font>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solid">
          <fgColor indexed="64"/>
          <bgColor theme="2"/>
        </patternFill>
      </fill>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9"/>
        <color rgb="FF36256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theme="0"/>
        <name val="Calibri"/>
        <family val="2"/>
        <scheme val="minor"/>
      </font>
      <fill>
        <patternFill patternType="none">
          <fgColor indexed="64"/>
          <bgColor rgb="FF36246E"/>
        </patternFill>
      </fill>
      <alignment horizontal="right" vertical="center" textRotation="0" wrapText="1" indent="0" justifyLastLine="0" shrinkToFit="0" readingOrder="0"/>
    </dxf>
    <dxf>
      <font>
        <strike val="0"/>
        <outline val="0"/>
        <shadow val="0"/>
        <u val="none"/>
        <vertAlign val="baseline"/>
        <sz val="9"/>
        <color rgb="FF36256E"/>
        <family val="2"/>
      </font>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strike val="0"/>
        <outline val="0"/>
        <shadow val="0"/>
        <u val="none"/>
        <vertAlign val="baseline"/>
        <color rgb="FF36256E"/>
        <name val="Calibri"/>
        <family val="2"/>
        <scheme val="minor"/>
      </font>
      <fill>
        <patternFill patternType="none">
          <fgColor indexed="64"/>
          <bgColor auto="1"/>
        </patternFill>
      </fill>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rgb="FF36256E"/>
        <family val="2"/>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strike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indexed="65"/>
        </patternFill>
      </fill>
      <alignment horizontal="right" textRotation="0" wrapText="0" indent="0" justifyLastLine="0" shrinkToFit="0" readingOrder="0"/>
    </dxf>
    <dxf>
      <font>
        <strike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auto="1"/>
        </patternFill>
      </fill>
      <alignment horizontal="right" textRotation="0" wrapText="0" indent="0" justifyLastLine="0" shrinkToFit="0" readingOrder="0"/>
    </dxf>
    <dxf>
      <font>
        <strike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2" formatCode="0.00"/>
      <fill>
        <patternFill patternType="none">
          <fgColor indexed="64"/>
          <bgColor auto="1"/>
        </patternFill>
      </fill>
      <alignment horizontal="right" textRotation="0" wrapText="0" indent="0" justifyLastLine="0" shrinkToFit="0" readingOrder="0"/>
    </dxf>
    <dxf>
      <font>
        <strike val="0"/>
        <outline val="0"/>
        <shadow val="0"/>
        <u val="none"/>
        <vertAlign val="baseline"/>
        <sz val="9"/>
        <color rgb="FF36256E"/>
        <name val="Calibri"/>
        <family val="2"/>
        <scheme val="minor"/>
      </font>
      <numFmt numFmtId="2" formatCode="0.00"/>
      <alignment horizontal="right" vertical="bottom" textRotation="0" wrapText="0" indent="0" justifyLastLine="0" shrinkToFit="0" readingOrder="0"/>
    </dxf>
    <dxf>
      <font>
        <strike val="0"/>
        <outline val="0"/>
        <shadow val="0"/>
        <u val="none"/>
        <vertAlign val="baseline"/>
        <color rgb="FF36256E"/>
        <name val="Calibri"/>
        <family val="2"/>
        <scheme val="minor"/>
      </font>
      <numFmt numFmtId="1" formatCode="0"/>
      <fill>
        <patternFill patternType="none">
          <fgColor indexed="64"/>
          <bgColor indexed="65"/>
        </patternFill>
      </fill>
      <alignment horizontal="right" textRotation="0" wrapText="0" indent="0" justifyLastLine="0" shrinkToFit="0" readingOrder="0"/>
    </dxf>
    <dxf>
      <font>
        <strike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8"/>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dxf>
    <dxf>
      <font>
        <strike val="0"/>
        <outline val="0"/>
        <shadow val="0"/>
        <u val="none"/>
        <vertAlign val="baseline"/>
        <color rgb="FF36256E"/>
        <name val="Calibri"/>
        <family val="2"/>
        <scheme val="minor"/>
      </font>
      <fill>
        <patternFill patternType="none">
          <fgColor indexed="64"/>
          <bgColor indexed="65"/>
        </patternFill>
      </fill>
    </dxf>
    <dxf>
      <font>
        <b/>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1"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36256E"/>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9"/>
        <color rgb="FF36256E"/>
        <name val="Calibri"/>
        <family val="2"/>
        <scheme val="minor"/>
      </font>
      <numFmt numFmtId="3" formatCode="#,##0"/>
      <alignment horizontal="general" vertical="bottom" textRotation="0" wrapText="0" indent="0" justifyLastLine="0" shrinkToFit="0" readingOrder="0"/>
    </dxf>
    <dxf>
      <font>
        <strike val="0"/>
        <outline val="0"/>
        <shadow val="0"/>
        <u val="none"/>
        <vertAlign val="baseline"/>
        <color rgb="FF36256E"/>
      </font>
      <numFmt numFmtId="3" formatCode="#,##0"/>
      <alignment horizontal="general" textRotation="0" wrapText="0" indent="0" justifyLastLine="0" shrinkToFit="0" readingOrder="0"/>
    </dxf>
    <dxf>
      <font>
        <b/>
        <i val="0"/>
        <strike val="0"/>
        <condense val="0"/>
        <extend val="0"/>
        <outline val="0"/>
        <shadow val="0"/>
        <u val="none"/>
        <vertAlign val="baseline"/>
        <sz val="9"/>
        <color rgb="FF36256E"/>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strike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left" vertical="center" textRotation="0" wrapText="0" indent="0" justifyLastLine="0" shrinkToFit="0" readingOrder="0"/>
    </dxf>
    <dxf>
      <font>
        <strike val="0"/>
        <outline val="0"/>
        <shadow val="0"/>
        <u val="none"/>
        <vertAlign val="baseline"/>
        <color rgb="FF36256E"/>
      </font>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color rgb="FF36256E"/>
        <family val="2"/>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0" indent="0" justifyLastLine="0" shrinkToFit="0" readingOrder="0"/>
    </dxf>
    <dxf>
      <font>
        <strike val="0"/>
        <outline val="0"/>
        <shadow val="0"/>
        <u val="none"/>
        <vertAlign val="baseline"/>
        <sz val="9"/>
        <color rgb="FF36256E"/>
        <name val="Calibri"/>
        <family val="2"/>
        <scheme val="minor"/>
      </font>
      <fill>
        <patternFill patternType="none">
          <fgColor indexed="64"/>
          <bgColor indexed="65"/>
        </patternFill>
      </fill>
      <alignment horizontal="general" vertical="bottom" textRotation="0" wrapText="1" indent="0" justifyLastLine="0" shrinkToFit="0" readingOrder="0"/>
    </dxf>
    <dxf>
      <font>
        <b val="0"/>
        <strike val="0"/>
        <outline val="0"/>
        <shadow val="0"/>
        <u val="none"/>
        <vertAlign val="baseline"/>
        <sz val="9"/>
        <color rgb="FF36256E"/>
        <name val="Calibri"/>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9"/>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theme="7"/>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9"/>
        <color rgb="FF36256E"/>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vertAlign val="baseline"/>
        <sz val="9"/>
        <color rgb="FF36256E"/>
        <name val="Calibri"/>
        <family val="2"/>
        <scheme val="minor"/>
      </font>
      <fill>
        <patternFill patternType="none">
          <fgColor indexed="64"/>
          <bgColor auto="1"/>
        </patternFill>
      </fill>
    </dxf>
    <dxf>
      <font>
        <strike val="0"/>
        <outline val="0"/>
        <shadow val="0"/>
        <u val="none"/>
        <vertAlign val="baseline"/>
        <sz val="9"/>
        <color theme="0"/>
        <name val="Calibri"/>
        <family val="2"/>
        <scheme val="minor"/>
      </font>
      <fill>
        <patternFill patternType="solid">
          <fgColor indexed="64"/>
          <bgColor rgb="FF36246E"/>
        </patternFill>
      </fill>
    </dxf>
    <dxf>
      <font>
        <strike val="0"/>
        <outline val="0"/>
        <shadow val="0"/>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alignment horizontal="general" vertical="center" textRotation="0" wrapText="1" indent="0" justifyLastLine="0" shrinkToFit="0" readingOrder="0"/>
    </dxf>
    <dxf>
      <font>
        <strike val="0"/>
        <outline val="0"/>
        <shadow val="0"/>
        <vertAlign val="baseline"/>
        <sz val="9"/>
        <color rgb="FF36256E"/>
        <name val="Calibri"/>
        <family val="2"/>
        <scheme val="minor"/>
      </font>
      <alignment horizontal="general" vertical="center" textRotation="0" wrapText="1" indent="0" justifyLastLine="0" shrinkToFit="0" readingOrder="0"/>
    </dxf>
    <dxf>
      <font>
        <strike val="0"/>
        <outline val="0"/>
        <shadow val="0"/>
        <vertAlign val="baseline"/>
        <sz val="9"/>
        <color rgb="FF36256E"/>
        <name val="Calibri"/>
        <family val="2"/>
        <scheme val="minor"/>
      </font>
    </dxf>
    <dxf>
      <font>
        <b/>
        <i val="0"/>
        <strike val="0"/>
        <condense val="0"/>
        <extend val="0"/>
        <outline val="0"/>
        <shadow val="0"/>
        <u val="none"/>
        <vertAlign val="baseline"/>
        <sz val="9"/>
        <color theme="0"/>
        <name val="Calibri"/>
        <family val="2"/>
        <scheme val="minor"/>
      </font>
      <fill>
        <patternFill patternType="solid">
          <fgColor indexed="64"/>
          <bgColor rgb="FF36246E"/>
        </patternFill>
      </fill>
      <alignment horizontal="general" vertical="center" textRotation="0" wrapText="1" indent="0" justifyLastLine="0" shrinkToFit="0" readingOrder="0"/>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rgb="FF36256E"/>
        <name val="Calibri"/>
        <family val="2"/>
        <scheme val="minor"/>
      </font>
    </dxf>
    <dxf>
      <font>
        <b val="0"/>
        <i val="0"/>
        <strike val="0"/>
        <condense val="0"/>
        <extend val="0"/>
        <outline val="0"/>
        <shadow val="0"/>
        <u val="none"/>
        <vertAlign val="baseline"/>
        <sz val="9"/>
        <color theme="0"/>
        <name val="Calibri"/>
        <family val="2"/>
        <scheme val="minor"/>
      </font>
      <fill>
        <patternFill patternType="solid">
          <fgColor indexed="64"/>
          <bgColor rgb="FF36246E"/>
        </patternFill>
      </fill>
    </dxf>
  </dxfs>
  <tableStyles count="0" defaultTableStyle="TableStyleMedium2" defaultPivotStyle="PivotStyleLight16"/>
  <colors>
    <mruColors>
      <color rgb="FF362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Wiki!A1"/></Relationships>
</file>

<file path=xl/drawings/drawing1.xml><?xml version="1.0" encoding="utf-8"?>
<xdr:wsDr xmlns:xdr="http://schemas.openxmlformats.org/drawingml/2006/spreadsheetDrawing" xmlns:a="http://schemas.openxmlformats.org/drawingml/2006/main">
  <xdr:twoCellAnchor editAs="oneCell">
    <xdr:from>
      <xdr:col>1</xdr:col>
      <xdr:colOff>14112</xdr:colOff>
      <xdr:row>0</xdr:row>
      <xdr:rowOff>112890</xdr:rowOff>
    </xdr:from>
    <xdr:to>
      <xdr:col>6</xdr:col>
      <xdr:colOff>5292</xdr:colOff>
      <xdr:row>9</xdr:row>
      <xdr:rowOff>32662</xdr:rowOff>
    </xdr:to>
    <xdr:pic>
      <xdr:nvPicPr>
        <xdr:cNvPr id="4" name="Imagen 3">
          <a:extLst>
            <a:ext uri="{FF2B5EF4-FFF2-40B4-BE49-F238E27FC236}">
              <a16:creationId xmlns:a16="http://schemas.microsoft.com/office/drawing/2014/main" id="{9FAFCAFE-E097-624E-A2FF-66F276B11A29}"/>
            </a:ext>
          </a:extLst>
        </xdr:cNvPr>
        <xdr:cNvPicPr>
          <a:picLocks noChangeAspect="1"/>
        </xdr:cNvPicPr>
      </xdr:nvPicPr>
      <xdr:blipFill>
        <a:blip xmlns:r="http://schemas.openxmlformats.org/officeDocument/2006/relationships" r:embed="rId1"/>
        <a:stretch>
          <a:fillRect/>
        </a:stretch>
      </xdr:blipFill>
      <xdr:spPr>
        <a:xfrm>
          <a:off x="324556" y="112890"/>
          <a:ext cx="18725445" cy="16977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154</xdr:row>
      <xdr:rowOff>0</xdr:rowOff>
    </xdr:from>
    <xdr:to>
      <xdr:col>1</xdr:col>
      <xdr:colOff>961005</xdr:colOff>
      <xdr:row>157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EBCC463C-8A2C-4718-80D3-69A5065AA2AB}"/>
            </a:ext>
          </a:extLst>
        </xdr:cNvPr>
        <xdr:cNvGrpSpPr/>
      </xdr:nvGrpSpPr>
      <xdr:grpSpPr>
        <a:xfrm>
          <a:off x="0" y="31092321"/>
          <a:ext cx="3056505" cy="530680"/>
          <a:chOff x="530678" y="45760821"/>
          <a:chExt cx="3075215" cy="571501"/>
        </a:xfrm>
      </xdr:grpSpPr>
      <xdr:pic>
        <xdr:nvPicPr>
          <xdr:cNvPr id="3" name="Gráfico 2" descr="Flechas de cheurón con relleno sólido">
            <a:extLst>
              <a:ext uri="{FF2B5EF4-FFF2-40B4-BE49-F238E27FC236}">
                <a16:creationId xmlns:a16="http://schemas.microsoft.com/office/drawing/2014/main" id="{31106758-3A8C-4B41-BB60-040537F10C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F3095017-F54A-4F32-A3E2-1CA6B7AA1970}"/>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84</xdr:row>
      <xdr:rowOff>0</xdr:rowOff>
    </xdr:from>
    <xdr:to>
      <xdr:col>0</xdr:col>
      <xdr:colOff>3068411</xdr:colOff>
      <xdr:row>87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642A8B0-A223-4A31-9B7F-15F6911CEEE6}"/>
            </a:ext>
          </a:extLst>
        </xdr:cNvPr>
        <xdr:cNvGrpSpPr/>
      </xdr:nvGrpSpPr>
      <xdr:grpSpPr>
        <a:xfrm>
          <a:off x="0" y="19420417"/>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CBBF9A2-A296-4911-80B8-5D0DF811FE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5C83AFC4-44B3-4409-926F-3BD3005CBD2B}"/>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318067</xdr:colOff>
      <xdr:row>12</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356289C4-43EE-4685-9674-BAAA54E4D630}"/>
            </a:ext>
          </a:extLst>
        </xdr:cNvPr>
        <xdr:cNvGrpSpPr/>
      </xdr:nvGrpSpPr>
      <xdr:grpSpPr>
        <a:xfrm>
          <a:off x="0" y="2238375"/>
          <a:ext cx="3070792"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186A1DFB-A5E2-4524-8A59-0BAAD6E5A4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C62C90FD-D1D8-4F50-9201-8966080A535F}"/>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12</xdr:row>
      <xdr:rowOff>0</xdr:rowOff>
    </xdr:from>
    <xdr:to>
      <xdr:col>1</xdr:col>
      <xdr:colOff>8505</xdr:colOff>
      <xdr:row>15</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BF2CA270-6662-4B5B-B696-39E76659930E}"/>
            </a:ext>
          </a:extLst>
        </xdr:cNvPr>
        <xdr:cNvGrpSpPr/>
      </xdr:nvGrpSpPr>
      <xdr:grpSpPr>
        <a:xfrm>
          <a:off x="0" y="2638425"/>
          <a:ext cx="3066030"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7ED0D0A0-2D0D-4941-9EBF-C591DBA246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43DC61F8-2A39-4E64-BC27-8377CA68062C}"/>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64</xdr:row>
      <xdr:rowOff>0</xdr:rowOff>
    </xdr:from>
    <xdr:to>
      <xdr:col>0</xdr:col>
      <xdr:colOff>3068411</xdr:colOff>
      <xdr:row>67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C374DB7-AFB4-4939-BF8E-2C1BBDB2229A}"/>
            </a:ext>
          </a:extLst>
        </xdr:cNvPr>
        <xdr:cNvGrpSpPr/>
      </xdr:nvGrpSpPr>
      <xdr:grpSpPr>
        <a:xfrm>
          <a:off x="0" y="25372219"/>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AE715F4C-99DE-4260-9712-3BD57159BB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F2790FF-D30A-4ECE-873E-6B76112D1A82}"/>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96</xdr:row>
      <xdr:rowOff>0</xdr:rowOff>
    </xdr:from>
    <xdr:to>
      <xdr:col>0</xdr:col>
      <xdr:colOff>3068411</xdr:colOff>
      <xdr:row>99</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4C40372F-0FC8-4834-A834-39C3ABCF0334}"/>
            </a:ext>
          </a:extLst>
        </xdr:cNvPr>
        <xdr:cNvGrpSpPr/>
      </xdr:nvGrpSpPr>
      <xdr:grpSpPr>
        <a:xfrm>
          <a:off x="0" y="19966781"/>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5F21F60B-632E-4A3C-BABE-656AB03803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2692EE2-ABD3-40BE-8893-BB18E3395A8E}"/>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3068411</xdr:colOff>
      <xdr:row>77</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5E3FDC9E-F532-44DF-9391-742D01770415}"/>
            </a:ext>
          </a:extLst>
        </xdr:cNvPr>
        <xdr:cNvGrpSpPr/>
      </xdr:nvGrpSpPr>
      <xdr:grpSpPr>
        <a:xfrm>
          <a:off x="0" y="20502563"/>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6330FB0-172D-450E-824E-F735F97960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CCCFC06B-13E7-4009-BAF4-F03B3BC907E0}"/>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124164</xdr:colOff>
      <xdr:row>117</xdr:row>
      <xdr:rowOff>115660</xdr:rowOff>
    </xdr:from>
    <xdr:to>
      <xdr:col>0</xdr:col>
      <xdr:colOff>3192575</xdr:colOff>
      <xdr:row>120</xdr:row>
      <xdr:rowOff>115661</xdr:rowOff>
    </xdr:to>
    <xdr:grpSp>
      <xdr:nvGrpSpPr>
        <xdr:cNvPr id="5" name="Grupo 4">
          <a:hlinkClick xmlns:r="http://schemas.openxmlformats.org/officeDocument/2006/relationships" r:id="rId1"/>
          <a:extLst>
            <a:ext uri="{FF2B5EF4-FFF2-40B4-BE49-F238E27FC236}">
              <a16:creationId xmlns:a16="http://schemas.microsoft.com/office/drawing/2014/main" id="{C38EBE58-80CF-4074-8A68-E2AF2D1A4F9B}"/>
            </a:ext>
          </a:extLst>
        </xdr:cNvPr>
        <xdr:cNvGrpSpPr/>
      </xdr:nvGrpSpPr>
      <xdr:grpSpPr>
        <a:xfrm>
          <a:off x="124164" y="42573348"/>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E8CF935F-310A-4952-9B41-604110387A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786E56AE-56A1-447D-B1B8-908068291254}"/>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22</xdr:row>
      <xdr:rowOff>108858</xdr:rowOff>
    </xdr:from>
    <xdr:to>
      <xdr:col>1</xdr:col>
      <xdr:colOff>1578429</xdr:colOff>
      <xdr:row>25</xdr:row>
      <xdr:rowOff>108859</xdr:rowOff>
    </xdr:to>
    <xdr:grpSp>
      <xdr:nvGrpSpPr>
        <xdr:cNvPr id="2" name="Grupo 1">
          <a:hlinkClick xmlns:r="http://schemas.openxmlformats.org/officeDocument/2006/relationships" r:id="rId1"/>
          <a:extLst>
            <a:ext uri="{FF2B5EF4-FFF2-40B4-BE49-F238E27FC236}">
              <a16:creationId xmlns:a16="http://schemas.microsoft.com/office/drawing/2014/main" id="{52097EAB-B5CF-4F1B-B297-B9ACFE77006C}"/>
            </a:ext>
          </a:extLst>
        </xdr:cNvPr>
        <xdr:cNvGrpSpPr/>
      </xdr:nvGrpSpPr>
      <xdr:grpSpPr>
        <a:xfrm>
          <a:off x="81643" y="10137322"/>
          <a:ext cx="3061607"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D6EC6386-E357-4266-908F-CC7CDE83EF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9BC08D8-254A-4E5C-B8D7-9DB6EBAC25AA}"/>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35718</xdr:colOff>
      <xdr:row>47</xdr:row>
      <xdr:rowOff>146276</xdr:rowOff>
    </xdr:from>
    <xdr:to>
      <xdr:col>1</xdr:col>
      <xdr:colOff>1001826</xdr:colOff>
      <xdr:row>50</xdr:row>
      <xdr:rowOff>146277</xdr:rowOff>
    </xdr:to>
    <xdr:grpSp>
      <xdr:nvGrpSpPr>
        <xdr:cNvPr id="2" name="Grupo 1">
          <a:hlinkClick xmlns:r="http://schemas.openxmlformats.org/officeDocument/2006/relationships" r:id="rId1"/>
          <a:extLst>
            <a:ext uri="{FF2B5EF4-FFF2-40B4-BE49-F238E27FC236}">
              <a16:creationId xmlns:a16="http://schemas.microsoft.com/office/drawing/2014/main" id="{F7001453-E182-4A38-B1DE-424E97036A76}"/>
            </a:ext>
          </a:extLst>
        </xdr:cNvPr>
        <xdr:cNvGrpSpPr/>
      </xdr:nvGrpSpPr>
      <xdr:grpSpPr>
        <a:xfrm>
          <a:off x="35718" y="12487955"/>
          <a:ext cx="3075215"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3D92F78F-0087-4EDB-9B16-E85BE03DA3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923A734E-FF49-472A-A427-152C0E119D94}"/>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3068411</xdr:colOff>
      <xdr:row>53</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17EABCAE-8EEE-4604-AB88-FED9D718A182}"/>
            </a:ext>
          </a:extLst>
        </xdr:cNvPr>
        <xdr:cNvGrpSpPr/>
      </xdr:nvGrpSpPr>
      <xdr:grpSpPr>
        <a:xfrm>
          <a:off x="0" y="10310813"/>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44CD4C4E-0567-452E-9957-48B5D87B6E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8B97B1FF-E263-49AF-8502-564BC49E589C}"/>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68</xdr:row>
      <xdr:rowOff>0</xdr:rowOff>
    </xdr:from>
    <xdr:to>
      <xdr:col>1</xdr:col>
      <xdr:colOff>1949223</xdr:colOff>
      <xdr:row>71</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951E0EAB-CF33-4405-8C61-3255F49D6C08}"/>
            </a:ext>
          </a:extLst>
        </xdr:cNvPr>
        <xdr:cNvGrpSpPr/>
      </xdr:nvGrpSpPr>
      <xdr:grpSpPr>
        <a:xfrm>
          <a:off x="0" y="16835438"/>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22AAC90A-7443-4CF5-BB50-683A3E99CB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2470ACB4-A81B-4396-BD9E-B4C011E542B9}"/>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55</xdr:row>
      <xdr:rowOff>0</xdr:rowOff>
    </xdr:from>
    <xdr:to>
      <xdr:col>1</xdr:col>
      <xdr:colOff>210911</xdr:colOff>
      <xdr:row>58</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25DCC2E1-F622-469D-A884-3AFDC0698709}"/>
            </a:ext>
          </a:extLst>
        </xdr:cNvPr>
        <xdr:cNvGrpSpPr/>
      </xdr:nvGrpSpPr>
      <xdr:grpSpPr>
        <a:xfrm>
          <a:off x="0" y="13370719"/>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935E210B-BB86-4211-9127-77CA49C3B5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AB50E5EF-F506-4E48-8BA4-B57DBB8C2997}"/>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13</xdr:row>
      <xdr:rowOff>0</xdr:rowOff>
    </xdr:from>
    <xdr:to>
      <xdr:col>1</xdr:col>
      <xdr:colOff>1711098</xdr:colOff>
      <xdr:row>16</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87B778A7-C30A-4569-92C2-1E7CB3E48336}"/>
            </a:ext>
          </a:extLst>
        </xdr:cNvPr>
        <xdr:cNvGrpSpPr/>
      </xdr:nvGrpSpPr>
      <xdr:grpSpPr>
        <a:xfrm>
          <a:off x="0" y="3143250"/>
          <a:ext cx="3063648"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49376655-1681-4CC5-9721-ACEA9E3A53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2B06F703-0BC6-4F8D-BADE-21C4BA375618}"/>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109</xdr:row>
      <xdr:rowOff>0</xdr:rowOff>
    </xdr:from>
    <xdr:to>
      <xdr:col>0</xdr:col>
      <xdr:colOff>3068411</xdr:colOff>
      <xdr:row>112</xdr:row>
      <xdr:rowOff>1</xdr:rowOff>
    </xdr:to>
    <xdr:grpSp>
      <xdr:nvGrpSpPr>
        <xdr:cNvPr id="2" name="Grupo 1">
          <a:hlinkClick xmlns:r="http://schemas.openxmlformats.org/officeDocument/2006/relationships" r:id="rId1"/>
          <a:extLst>
            <a:ext uri="{FF2B5EF4-FFF2-40B4-BE49-F238E27FC236}">
              <a16:creationId xmlns:a16="http://schemas.microsoft.com/office/drawing/2014/main" id="{FA271583-B4C8-4646-A38B-6944F181CE4D}"/>
            </a:ext>
          </a:extLst>
        </xdr:cNvPr>
        <xdr:cNvGrpSpPr/>
      </xdr:nvGrpSpPr>
      <xdr:grpSpPr>
        <a:xfrm>
          <a:off x="0" y="26027063"/>
          <a:ext cx="3068411" cy="571501"/>
          <a:chOff x="530678" y="45760821"/>
          <a:chExt cx="3075215" cy="571501"/>
        </a:xfrm>
      </xdr:grpSpPr>
      <xdr:pic>
        <xdr:nvPicPr>
          <xdr:cNvPr id="3" name="Gráfico 2" descr="Flechas de cheurón con relleno sólido">
            <a:extLst>
              <a:ext uri="{FF2B5EF4-FFF2-40B4-BE49-F238E27FC236}">
                <a16:creationId xmlns:a16="http://schemas.microsoft.com/office/drawing/2014/main" id="{07FCD72A-0AC3-4997-85A1-0BFA51B8CF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38567594-3DD5-4E8D-97D4-292DB943B681}"/>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1100" b="1" cap="all" spc="100" baseline="0">
                <a:solidFill>
                  <a:schemeClr val="accent4">
                    <a:lumMod val="60000"/>
                    <a:lumOff val="40000"/>
                  </a:schemeClr>
                </a:solidFill>
              </a:rPr>
              <a:t>Back to Content Table</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Dara Edmonds" id="{75737D67-E953-4971-9BAB-600ECD200C8A}" userId="c275b08ab3d8ee55"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F96175E-15A1-44BB-AD8F-9995E329FA75}" name="Tabla456" displayName="Tabla456" ref="B27:F98" totalsRowShown="0" headerRowDxfId="416" dataDxfId="415">
  <autoFilter ref="B27:F98" xr:uid="{8F96175E-15A1-44BB-AD8F-9995E329FA75}"/>
  <sortState xmlns:xlrd2="http://schemas.microsoft.com/office/spreadsheetml/2017/richdata2" ref="B28:F98">
    <sortCondition ref="C27:C98"/>
  </sortState>
  <tableColumns count="5">
    <tableColumn id="1" xr3:uid="{3F94C7B7-B939-455A-B42D-978C197053C6}" name="TAB / MATERIAL TOPIC" dataDxfId="414"/>
    <tableColumn id="2" xr3:uid="{38F130EC-2DF5-4D20-901E-C84A95139157}" name="N°" dataDxfId="413"/>
    <tableColumn id="3" xr3:uid="{5B451207-09C7-4503-A72F-71EF7075640D}" name="TABLE / DISCLOSURE" dataDxfId="412"/>
    <tableColumn id="4" xr3:uid="{F04A6C00-7E8E-4F46-AEDC-E3AF3F7BA4EC}" name="FRAMEWORK DISCLOSURE" dataDxfId="411"/>
    <tableColumn id="5" xr3:uid="{57F68B4B-3EF9-42E6-948C-38F291C1D717}" name="REPORT SECTION" dataDxfId="410"/>
  </tableColumns>
  <tableStyleInfo name="TableStyleLight1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1085C2-6060-4A7C-BF19-636963028580}" name="Tabla25" displayName="Tabla25" ref="A31:C32" totalsRowShown="0" headerRowDxfId="330" dataDxfId="329">
  <autoFilter ref="A31:C32" xr:uid="{271085C2-6060-4A7C-BF19-636963028580}"/>
  <tableColumns count="3">
    <tableColumn id="1" xr3:uid="{234A88D9-20AF-4AAE-BC22-1D047C01200A}" name="Limon Complex" dataDxfId="328"/>
    <tableColumn id="2" xr3:uid="{DEE7D9D6-0EFE-4190-AE9B-176112329C80}" name="Libertad Complex" dataDxfId="327"/>
    <tableColumn id="3" xr3:uid="{66B0979A-EFE5-44BA-B087-D2A96E851F81}" name="Energy Intensity Ratio (GJ/oz)(1)" dataDxfId="326"/>
  </tableColumns>
  <tableStyleInfo name="TableStyleLight1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E556596-CB98-4590-88F3-E333EE98E66D}" name="Tabla34" displayName="Tabla34" ref="A3:E6" totalsRowShown="0" headerRowDxfId="325" dataDxfId="324">
  <autoFilter ref="A3:E6" xr:uid="{BE556596-CB98-4590-88F3-E333EE98E66D}"/>
  <tableColumns count="5">
    <tableColumn id="1" xr3:uid="{D52702CE-EC75-42C7-992E-F84F5934FDC9}" name="Date" dataDxfId="323"/>
    <tableColumn id="2" xr3:uid="{B24D69D5-08BC-4344-968F-AD88822D6973}" name="Project" dataDxfId="322"/>
    <tableColumn id="3" xr3:uid="{9E42806D-F6D3-43D7-B41B-11104C6D7433}" name="Location" dataDxfId="321"/>
    <tableColumn id="4" xr3:uid="{AF0760ED-FF21-4C5F-8B03-047880A37B3C}" name="# Participants" dataDxfId="320"/>
    <tableColumn id="5" xr3:uid="{E6871369-89AE-45B1-B8F4-81790BF19E11}" name="Outcome" dataDxfId="319"/>
  </tableColumns>
  <tableStyleInfo name="TableStyleLight1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01A9BDC-3F3F-4DD8-BBF2-CD7DD9D4CB9B}" name="Tabla35" displayName="Tabla35" ref="A12:G16" totalsRowShown="0" headerRowDxfId="318" dataDxfId="317">
  <autoFilter ref="A12:G16" xr:uid="{401A9BDC-3F3F-4DD8-BBF2-CD7DD9D4CB9B}"/>
  <tableColumns count="7">
    <tableColumn id="1" xr3:uid="{E94C3B98-6AC7-4CAB-BEFA-1EFC0DCAE788}" name="Site" dataDxfId="316"/>
    <tableColumn id="2" xr3:uid="{C1534E37-FC05-4900-818E-ECF995DA31FC}" name="Does the Operation Have Local Community Engagement Plans? Is it Based on SH Mapping?" dataDxfId="315"/>
    <tableColumn id="3" xr3:uid="{B496AB1D-6E17-4A5C-8FF7-AB0AF93A0827}" name="SIA Conducted? Year of Last SIA" dataDxfId="314"/>
    <tableColumn id="4" xr3:uid="{616382D6-E501-426D-9C21-E5918C525BD0}" name="Does the Operation Have Development Programs?" dataDxfId="313"/>
    <tableColumn id="5" xr3:uid="{F9BFB7EB-C1E9-45EE-8796-79A11BD77F5B}" name="Does the Operation Have Formal Local Community Grievance Processes?" dataDxfId="312"/>
    <tableColumn id="6" xr3:uid="{612631FA-CF34-475C-A5B1-F31678372E2E}" name="Site Engages with Broad-based Local Community Consultation Committees that Include Vulnerable Groups?" dataDxfId="311"/>
    <tableColumn id="7" xr3:uid="{D1571FFB-1B86-4C1B-85F2-7E5DB8695F27}" name="Sites Engages with Worker Councils, OH&amp;S Committees and other Worker Representation Bodies to Manage Social Impacts?" dataDxfId="310"/>
  </tableColumns>
  <tableStyleInfo name="TableStyleLight1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8C56AB0-18C9-46EB-BB10-21C581C64222}" name="Tabla36" displayName="Tabla36" ref="A22:E24" totalsRowShown="0" headerRowDxfId="309" dataDxfId="308">
  <autoFilter ref="A22:E24" xr:uid="{28C56AB0-18C9-46EB-BB10-21C581C64222}"/>
  <tableColumns count="5">
    <tableColumn id="1" xr3:uid="{414644F3-E996-4CE3-8D56-AADBB8CC4168}" name="Items" dataDxfId="307"/>
    <tableColumn id="2" xr3:uid="{DAC7184F-6A67-44F0-A916-0160316E8E6E}" name="Limon Complex" dataDxfId="306"/>
    <tableColumn id="3" xr3:uid="{086BAC3C-DCAF-4970-B864-28DF38E740C3}" name="Libertad Complex" dataDxfId="305"/>
    <tableColumn id="4" xr3:uid="{BB8469C2-FF29-4882-8BE7-44BC5904ADEE}" name="Eastern Borosi Project" dataDxfId="304"/>
    <tableColumn id="5" xr3:uid="{4EBB5409-D9DB-401B-B80F-5DC4D4F65934}" name="Rio Tinto Exploration JV" dataDxfId="303"/>
  </tableColumns>
  <tableStyleInfo name="TableStyleLight1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3DBEEFA-36BC-4DBA-8B11-E2F4D2A5E8A8}" name="Tabla39" displayName="Tabla39" ref="A51:E53" totalsRowShown="0" headerRowDxfId="302" dataDxfId="301">
  <autoFilter ref="A51:E53" xr:uid="{E3DBEEFA-36BC-4DBA-8B11-E2F4D2A5E8A8}"/>
  <tableColumns count="5">
    <tableColumn id="1" xr3:uid="{932185DB-6A1B-4D7C-97FE-ACDA06DBD370}" name="Dispute Nature" dataDxfId="300"/>
    <tableColumn id="2" xr3:uid="{79DC0038-1A9A-4F96-94A1-CD461AF9E1A7}" name="Use of Grievance Procedure?" dataDxfId="299"/>
    <tableColumn id="3" xr3:uid="{0B2589BF-8D75-4128-BE5A-D5A6B89AE238}" name="Outcome" dataDxfId="298"/>
    <tableColumn id="4" xr3:uid="{E5810130-CAD6-4A7E-BBC5-4162D1BC748C}" name="Status" dataDxfId="297"/>
    <tableColumn id="5" xr3:uid="{01D9254C-9128-40BE-AFAF-8560FAF7E787}" name="Actions Taken" dataDxfId="296"/>
  </tableColumns>
  <tableStyleInfo name="TableStyleLight1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8C8D6B1-D146-4A68-81B3-10B6745D3620}" name="Tabla40" displayName="Tabla40" ref="A59:F64" totalsRowShown="0" headerRowDxfId="295" dataDxfId="294">
  <autoFilter ref="A59:F64" xr:uid="{B8C8D6B1-D146-4A68-81B3-10B6745D3620}"/>
  <tableColumns count="6">
    <tableColumn id="1" xr3:uid="{56AD5828-AD9B-429D-B841-66F440AFC9FF}" name="Location" dataDxfId="293"/>
    <tableColumn id="2" xr3:uid="{01BFEE12-52A1-4F23-BBAD-2B0C9FC92545}" name="Est. Population for 2021 (1)" dataDxfId="292"/>
    <tableColumn id="3" xr3:uid="{F5B13FA8-257A-4A31-AF85-2FDDFF769884}" name="# Grievances Registered in 2020" dataDxfId="291"/>
    <tableColumn id="4" xr3:uid="{BA371AEB-D61B-4723-B6B2-724E6AF674E3}" name="# Grievances Registered in 2021" dataDxfId="290"/>
    <tableColumn id="5" xr3:uid="{15A6973B-BBBE-43AB-8501-3A9876FC773E}" name="Grievances Registered in 2020/2021" dataDxfId="289"/>
    <tableColumn id="6" xr3:uid="{365065CD-9BC9-4625-85E3-9C94AF945EE1}" name="Percentage of Population Utilizing Calibre's Community Grievance Mechanism" dataDxfId="288"/>
  </tableColumns>
  <tableStyleInfo name="TableStyleLight1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0557B5-735F-48A4-B722-D8318FDDDEF5}" name="Tabla1" displayName="Tabla1" ref="A4:B13" headerRowCount="0" totalsRowShown="0" headerRowDxfId="287" dataDxfId="286">
  <tableColumns count="2">
    <tableColumn id="1" xr3:uid="{ED48EF6F-A46E-4CBA-B68F-BE311D9AD541}" name="Columna1" headerRowDxfId="285" dataDxfId="284"/>
    <tableColumn id="2" xr3:uid="{053C6132-7535-4E54-9A39-13858F2677F6}" name="Columna2" headerRowDxfId="283" dataDxfId="282"/>
  </tableColumns>
  <tableStyleInfo name="TableStyleLight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EA3EC3-AE02-4C42-9937-B475B2BFE201}" name="Tabla2" displayName="Tabla2" ref="A20:J24" totalsRowShown="0" headerRowDxfId="281" dataDxfId="280">
  <autoFilter ref="A20:J24" xr:uid="{E5EA3EC3-AE02-4C42-9937-B475B2BFE201}"/>
  <tableColumns count="10">
    <tableColumn id="1" xr3:uid="{B492DE6E-4701-4966-BAF9-7BE42B25621F}" name="Mechanism" dataDxfId="279"/>
    <tableColumn id="2" xr3:uid="{65C01214-B1BA-43AC-88B9-321C7847A86C}" name="Responsibility" dataDxfId="278"/>
    <tableColumn id="3" xr3:uid="{8316078E-38B8-4ED7-B065-420F1AE74D5F}" name="How are Stakeholder Informed of the Mechanism?" dataDxfId="277"/>
    <tableColumn id="4" xr3:uid="{C560FCE4-2D38-4140-B81E-6DDE7DE5E6C7}" name="Intended Users" dataDxfId="276"/>
    <tableColumn id="5" xr3:uid="{3C223E66-0C5D-47D5-9C95-0B2947FB1C53}" name="Availability and Accessibility" dataDxfId="275"/>
    <tableColumn id="6" xr3:uid="{AD2EB72D-1536-4721-AFC6-2DA87A08A016}" name="Available in Different Languages?" dataDxfId="274"/>
    <tableColumn id="7" xr3:uid="{C65BD730-6862-4CBC-9A83-2C1E9364654C}" name="Independent?" dataDxfId="273"/>
    <tableColumn id="8" xr3:uid="{9D40A234-54AC-485C-A411-43427CEF2D09}" name="Confidential?" dataDxfId="272"/>
    <tableColumn id="9" xr3:uid="{690EE818-C753-4338-A889-80A462FB47FF}" name="Anonymous?" dataDxfId="271"/>
    <tableColumn id="10" xr3:uid="{F08BB86D-E029-49DC-9F79-26D5520448B6}" name="Non-retaliation ensured?" dataDxfId="270"/>
  </tableColumns>
  <tableStyleInfo name="TableStyleLight1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61B15D-2910-4D1B-B3FA-6A9DBA8FA6AC}" name="Tabla3" displayName="Tabla3" ref="A30:D31" totalsRowShown="0" headerRowDxfId="269" dataDxfId="268">
  <autoFilter ref="A30:D31" xr:uid="{4161B15D-2910-4D1B-B3FA-6A9DBA8FA6AC}"/>
  <tableColumns count="4">
    <tableColumn id="1" xr3:uid="{03AA762B-9F82-4B1F-A382-976AE5F35318}" name="Total # of Operations" dataDxfId="267"/>
    <tableColumn id="2" xr3:uid="{D3D5926B-801E-4F0A-AA2F-E05432772005}" name="# Operations Assessed " dataDxfId="266"/>
    <tableColumn id="3" xr3:uid="{754C9005-F381-4723-8B49-1EE959093AD1}" name="% Operations Assessed" dataDxfId="265"/>
    <tableColumn id="4" xr3:uid="{B237FD43-2048-4922-A061-5BE3B257CDF0}" name="Significant Risks Identified" dataDxfId="264"/>
  </tableColumns>
  <tableStyleInfo name="TableStyleLight1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F32674-5344-4E0E-B003-88CFA0C1FD06}" name="Tabla4" displayName="Tabla4" ref="A38:E39" totalsRowShown="0" headerRowDxfId="263" dataDxfId="262">
  <autoFilter ref="A38:E39" xr:uid="{38F32674-5344-4E0E-B003-88CFA0C1FD06}"/>
  <tableColumns count="5">
    <tableColumn id="1" xr3:uid="{2BD1B1EF-FECB-4055-9E20-625776E5956B}" name="# Employees" dataDxfId="261"/>
    <tableColumn id="2" xr3:uid="{E4254CB5-90CB-494D-9571-2E3D80A4263B}" name="# Employees that Anti-corruption Policies and Procedures have been Communicated to (1)" dataDxfId="260"/>
    <tableColumn id="3" xr3:uid="{5C397C22-93D7-4B4F-A031-177245DA3374}" name="% Employees" dataDxfId="259"/>
    <tableColumn id="4" xr3:uid="{A84BA2E1-3579-498D-A2A5-C69BE5954BBE}" name="# Employees that have Received Training on Anti-corruption (2)" dataDxfId="258"/>
    <tableColumn id="5" xr3:uid="{D8189166-7029-4A42-BFDB-390491ABED65}" name="% Employees Trained" dataDxfId="257"/>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053957C-797E-44E1-BB71-EBD7A9A90ED8}" name="Tabla37" displayName="Tabla37" ref="A66:C68" totalsRowShown="0" headerRowDxfId="409" dataDxfId="408">
  <autoFilter ref="A66:C68" xr:uid="{2053957C-797E-44E1-BB71-EBD7A9A90ED8}"/>
  <tableColumns count="3">
    <tableColumn id="1" xr3:uid="{63CB97F7-CA6A-4266-9957-092E7463B16B}" name="Association" dataDxfId="407" dataCellStyle="Hipervínculo"/>
    <tableColumn id="2" xr3:uid="{E3CD5D1C-10C3-45BF-A9BD-EE3780B8B869}" name="Mission / Objective" dataDxfId="406"/>
    <tableColumn id="3" xr3:uid="{365B5062-0D61-4A60-8049-49FBF87F7F46}" name="Our Role" dataDxfId="405"/>
  </tableColumns>
  <tableStyleInfo name="TableStyleLight1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AEAEE8-B75E-4A65-9FA5-21A78B11BB4F}" name="Tabla5" displayName="Tabla5" ref="A42:C43" totalsRowShown="0" headerRowDxfId="256" dataDxfId="255">
  <autoFilter ref="A42:C43" xr:uid="{5AAEAEE8-B75E-4A65-9FA5-21A78B11BB4F}"/>
  <tableColumns count="3">
    <tableColumn id="1" xr3:uid="{7109C474-1976-4EC9-9210-02F105AB446F}" name="# Suppliers" dataDxfId="254"/>
    <tableColumn id="2" xr3:uid="{F23BC61D-49AC-4D48-B750-0C4DC0CBFBFA}" name="# Business Partners that Anti-corruption Policies and Procedures have been Communicated to" dataDxfId="253"/>
    <tableColumn id="3" xr3:uid="{ECD1F579-BE73-4F9C-993A-B1FE59C58B9F}" name="%" dataDxfId="252">
      <calculatedColumnFormula>Tabla5[[#This Row],['# Business Partners that Anti-corruption Policies and Procedures have been Communicated to]]/Tabla5[[#This Row],['# Suppliers]]</calculatedColumnFormula>
    </tableColumn>
  </tableColumns>
  <tableStyleInfo name="TableStyleLight1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FBB378-C634-4819-BE6C-124E67094149}" name="Tabla6" displayName="Tabla6" ref="A50:E51" totalsRowShown="0" headerRowDxfId="251" dataDxfId="250">
  <autoFilter ref="A50:E51" xr:uid="{92FBB378-C634-4819-BE6C-124E67094149}"/>
  <tableColumns count="5">
    <tableColumn id="1" xr3:uid="{B17A2921-98E2-4F10-98E6-CCEC6A51B0BF}" name="# Confirmed Incidents of Corruption (1)" dataDxfId="249"/>
    <tableColumn id="2" xr3:uid="{5F1A4734-D70C-492D-974C-F446DBBDA817}" name="Nature" dataDxfId="248"/>
    <tableColumn id="3" xr3:uid="{BF6C2869-9D66-412D-8521-3CFD65852EDA}" name="¿Contract(s) with Business Partner(s) Terminated or not Renewed?" dataDxfId="247"/>
    <tableColumn id="4" xr3:uid="{FB524185-43C8-463D-8653-92947C3B1BA1}" name="¿Public Legal Case (2) brought against the Organization or its Employees?" dataDxfId="246"/>
    <tableColumn id="5" xr3:uid="{FAC540DE-8D8B-47A4-A94A-6AEE09259FF1}" name="If Yes, Outcomes" dataDxfId="245"/>
  </tableColumns>
  <tableStyleInfo name="TableStyleLight1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87C73A-7D6D-4943-9AD7-C1356A3546DC}" name="Tabla9" displayName="Tabla9" ref="A4:D9" totalsRowShown="0" headerRowDxfId="244" dataDxfId="243">
  <autoFilter ref="A4:D9" xr:uid="{2287C73A-7D6D-4943-9AD7-C1356A3546DC}"/>
  <tableColumns count="4">
    <tableColumn id="1" xr3:uid="{7029A3CA-EF5D-4858-842B-F7AE1F20329F}" name="Site" dataDxfId="242"/>
    <tableColumn id="2" xr3:uid="{09DF53DF-1C76-46C2-97B8-8A839B8F5218}" name="EMP being implemented?" dataDxfId="241"/>
    <tableColumn id="3" xr3:uid="{52C27987-19E8-409E-BE86-A6C9B6686AD2}" name="Lifecycle stage" dataDxfId="240"/>
    <tableColumn id="4" xr3:uid="{FF3A09CA-7F65-426D-904F-D129DE2646B0}" name="Topics addressed by EMP" dataDxfId="239"/>
  </tableColumns>
  <tableStyleInfo name="TableStyleLight1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5A0187B-C675-4DA0-90C7-3EF8D78C69D5}" name="Tabla26" displayName="Tabla26" ref="A4:G7" totalsRowShown="0" headerRowDxfId="238" dataDxfId="237">
  <autoFilter ref="A4:G7" xr:uid="{C5A0187B-C675-4DA0-90C7-3EF8D78C69D5}"/>
  <tableColumns count="7">
    <tableColumn id="1" xr3:uid="{A5C3A3DF-291E-4D5F-AA17-A49FB092774F}" name="Type of training" dataDxfId="236"/>
    <tableColumn id="2" xr3:uid="{38D0BC71-670A-457F-8409-FC81CDB5BA82}" name="Topics" dataDxfId="235"/>
    <tableColumn id="7" xr3:uid="{ABD24B13-5A15-46E9-A6E1-DC98D6F16426}" name="# People Trained 2020" dataDxfId="234"/>
    <tableColumn id="3" xr3:uid="{82A48112-4E03-4158-85BE-88BB674B4DAE}" name="# People Trained 2021" dataDxfId="233"/>
    <tableColumn id="4" xr3:uid="{5C6C15F0-29AB-4169-8EEE-EF0FF1914435}" name="Frequency of Training" dataDxfId="232"/>
    <tableColumn id="5" xr3:uid="{9FB32A46-7C8A-411D-94DA-1926905C0BC3}" name="Duration of Training (hours)" dataDxfId="231"/>
    <tableColumn id="6" xr3:uid="{B4298D34-7427-451E-AA14-069FAC85810F}" name="Mandatory?" dataDxfId="230"/>
  </tableColumns>
  <tableStyleInfo name="TableStyleLight1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14AC152-0044-44E6-B73A-597A4A8E9E26}" name="Tabla27" displayName="Tabla27" ref="A13:G22" totalsRowShown="0" headerRowDxfId="229" dataDxfId="228">
  <autoFilter ref="A13:G22" xr:uid="{214AC152-0044-44E6-B73A-597A4A8E9E26}"/>
  <tableColumns count="7">
    <tableColumn id="1" xr3:uid="{5004C95E-5A45-49EB-9B95-1DDE68C94999}" name="Workers Covered by an Occupational H&amp;S Management System" dataDxfId="227"/>
    <tableColumn id="2" xr3:uid="{9F8DEB76-4A1B-4AB0-B1A4-AAE8D45880B2}" name="Limon Complex" dataDxfId="226"/>
    <tableColumn id="3" xr3:uid="{5F1B9809-13AE-4298-B00A-456F151C076C}" name="Libertad Complex" dataDxfId="225"/>
    <tableColumn id="4" xr3:uid="{7F187962-69F2-4EF9-BD4E-18F61F9CEC5F}" name="EBP" dataDxfId="224"/>
    <tableColumn id="5" xr3:uid="{CF305808-C124-4343-9A2C-07E47C630302}" name="Rio Tinto JV" dataDxfId="223"/>
    <tableColumn id="7" xr3:uid="{68C52AF2-7BE2-45FA-8DFF-635238274B7D}" name="Managua" dataDxfId="222"/>
    <tableColumn id="6" xr3:uid="{9F407ACD-FD26-471D-921C-DE7CEF971CC3}" name="Total" dataDxfId="221"/>
  </tableColumns>
  <tableStyleInfo name="TableStyleLight1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20DB54F-9BC2-4A45-B2BB-D42659828A9C}" name="Tabla28" displayName="Tabla28" ref="A29:I37" totalsRowCount="1" headerRowDxfId="220" dataDxfId="219" totalsRowDxfId="218" totalsRowCellStyle="Total">
  <autoFilter ref="A29:I36" xr:uid="{920DB54F-9BC2-4A45-B2BB-D42659828A9C}"/>
  <tableColumns count="9">
    <tableColumn id="1" xr3:uid="{4BECB39D-7A99-4D82-A2E0-B81ADC0E58AC}" name="Site" totalsRowLabel="Total" dataDxfId="217" totalsRowDxfId="216" totalsRowCellStyle="Total"/>
    <tableColumn id="2" xr3:uid="{F84289F6-873D-415B-8060-FEC89133EF1F}" name="# Fatalities" totalsRowFunction="sum" dataDxfId="215" totalsRowDxfId="214" totalsRowCellStyle="Total"/>
    <tableColumn id="3" xr3:uid="{3A885661-D621-4BD9-901B-85B4173BFFD9}" name="Rate Fatalities" totalsRowFunction="sum" dataDxfId="213" totalsRowDxfId="212" totalsRowCellStyle="Total"/>
    <tableColumn id="4" xr3:uid="{2D08BE41-F87F-499E-BF82-3F04E27D1C17}" name="# High-consequence Work-related Injuries" totalsRowFunction="sum" dataDxfId="211" totalsRowDxfId="210" totalsRowCellStyle="Total"/>
    <tableColumn id="5" xr3:uid="{C72FB50E-CBBF-4136-9F34-6CFCB56A3DE5}" name="High-consequence Work-related Injuries Rate (1)" totalsRowFunction="sum" dataDxfId="209" totalsRowDxfId="208" totalsRowCellStyle="Total"/>
    <tableColumn id="6" xr3:uid="{AB481A0F-4234-4C1D-A8C9-875F17095BDE}" name="# Recordable Work-related Injuries" totalsRowFunction="sum" dataDxfId="207" totalsRowDxfId="206" totalsRowCellStyle="Total"/>
    <tableColumn id="7" xr3:uid="{800032DB-48B4-45DB-BBF8-C63E4EE68F81}" name="Recordable Work-related Injuries Rate (2)" totalsRowFunction="sum" dataDxfId="205" totalsRowDxfId="204" totalsRowCellStyle="Total"/>
    <tableColumn id="8" xr3:uid="{AB083FA0-00F1-4412-9B49-629697173240}" name="Main Types of Work-related Injury" dataDxfId="203" totalsRowDxfId="202" totalsRowCellStyle="Total"/>
    <tableColumn id="9" xr3:uid="{BDB93D68-0613-4980-A558-39BD8000567A}" name="# Hours Worked" totalsRowFunction="sum" dataDxfId="201" totalsRowDxfId="200" totalsRowCellStyle="Total"/>
  </tableColumns>
  <tableStyleInfo name="TableStyleLight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318D927-C4D9-4F15-8D28-2A8CD20CC3F4}" name="Tabla29" displayName="Tabla29" ref="A43:I49" totalsRowCount="1" headerRowDxfId="199" dataDxfId="198" totalsRowDxfId="197" totalsRowCellStyle="Total">
  <autoFilter ref="A43:I48" xr:uid="{C318D927-C4D9-4F15-8D28-2A8CD20CC3F4}"/>
  <tableColumns count="9">
    <tableColumn id="1" xr3:uid="{0CA3D51B-4AB2-483A-AEA8-E3907E080277}" name="Site" totalsRowLabel="Total" dataDxfId="196" totalsRowDxfId="195" totalsRowCellStyle="Total"/>
    <tableColumn id="2" xr3:uid="{A70F443D-AEB6-4B76-B1E6-445CB11AB445}" name="# Fatalities" totalsRowFunction="sum" dataDxfId="194" totalsRowDxfId="193" totalsRowCellStyle="Total"/>
    <tableColumn id="3" xr3:uid="{DB802760-A525-48A8-9B99-2BB163DEB294}" name="Rate Fatalities" totalsRowFunction="sum" dataDxfId="192" totalsRowDxfId="191" totalsRowCellStyle="Total"/>
    <tableColumn id="4" xr3:uid="{7BFE600E-3FC9-4087-B29C-476BF587E7C8}" name="# High-consequence Work-related Injuries" totalsRowFunction="sum" dataDxfId="190" totalsRowDxfId="189" totalsRowCellStyle="Total"/>
    <tableColumn id="5" xr3:uid="{D2412989-25EB-4119-9A5D-95038306252B}" name="High-consequence Work-related Injuries Rate (1)" totalsRowFunction="sum" dataDxfId="188" totalsRowDxfId="187" totalsRowCellStyle="Total"/>
    <tableColumn id="6" xr3:uid="{75C798EE-CA8A-4DE4-BD2B-81C16597CE46}" name="# Recordable Work-related Injuries" totalsRowFunction="sum" dataDxfId="186" totalsRowDxfId="185" totalsRowCellStyle="Total"/>
    <tableColumn id="7" xr3:uid="{58464739-4C59-4DF6-BF1D-6B2844BB9B62}" name="Recordable Work-related Injuries Rate (2)" totalsRowFunction="sum" dataDxfId="184" totalsRowDxfId="183" totalsRowCellStyle="Total"/>
    <tableColumn id="8" xr3:uid="{063FCBBF-FDC4-491E-848F-976B7B628012}" name="Main Types of Work-related Injury" dataDxfId="182" totalsRowDxfId="181" totalsRowCellStyle="Total"/>
    <tableColumn id="9" xr3:uid="{21EEB31D-D350-41FB-9171-6BC05B8B9BB3}" name="# Hours Worked" totalsRowFunction="sum" dataDxfId="180" totalsRowDxfId="179" totalsRowCellStyle="Total"/>
  </tableColumns>
  <tableStyleInfo name="TableStyleLight1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A5766AD-8245-4336-BF8A-320191C3455C}" name="Tabla30" displayName="Tabla30" ref="A56:C61" totalsRowShown="0" headerRowDxfId="178" dataDxfId="177">
  <autoFilter ref="A56:C61" xr:uid="{7A5766AD-8245-4336-BF8A-320191C3455C}"/>
  <tableColumns count="3">
    <tableColumn id="1" xr3:uid="{7B0B3923-F1D3-40EE-BA3C-49C8BD9B2900}" name="Site" dataDxfId="176"/>
    <tableColumn id="2" xr3:uid="{2BB6183E-E035-4036-A420-0F7322D23B96}" name="Number" dataDxfId="175"/>
    <tableColumn id="3" xr3:uid="{B97A7DE4-79D3-45D4-8A97-D6788DC95BEA}" name="Type(s)" dataDxfId="174"/>
  </tableColumns>
  <tableStyleInfo name="TableStyleLight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56B955A-E78F-49AA-877A-D2E25EB59CF1}" name="Tabla31" displayName="Tabla31" ref="A67:C73" totalsRowCount="1" headerRowDxfId="173" dataDxfId="172" totalsRowDxfId="171" totalsRowCellStyle="Total">
  <autoFilter ref="A67:C72" xr:uid="{956B955A-E78F-49AA-877A-D2E25EB59CF1}"/>
  <tableColumns count="3">
    <tableColumn id="1" xr3:uid="{B56EE810-BA32-4CF4-A36A-EB43FDDA7813}" name="Site" totalsRowLabel="Total" dataDxfId="170" totalsRowDxfId="169" totalsRowCellStyle="Total"/>
    <tableColumn id="2" xr3:uid="{3AD1825B-3E16-4F01-831C-CAE31F3C336A}" name="# High-potential Work-related Incidents Identified" totalsRowFunction="sum" dataDxfId="168" totalsRowDxfId="167" totalsRowCellStyle="Total"/>
    <tableColumn id="3" xr3:uid="{DF9500BE-45B8-4DB8-A382-9F56B6338CD2}" name="# Close Calls Identified" dataDxfId="166" totalsRowDxfId="165" totalsRowCellStyle="Total"/>
  </tableColumns>
  <tableStyleInfo name="TableStyleLight1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6C6398-AC38-408D-8CD3-7864D29C378E}" name="Tabla32" displayName="Tabla32" ref="A79:D84" totalsRowShown="0" headerRowDxfId="164" dataDxfId="163">
  <autoFilter ref="A79:D84" xr:uid="{716C6398-AC38-408D-8CD3-7864D29C378E}"/>
  <tableColumns count="4">
    <tableColumn id="1" xr3:uid="{7AEFBDD9-F29F-43B3-807D-F51BA8F45945}" name="Site" dataDxfId="162"/>
    <tableColumn id="2" xr3:uid="{FC5E31B4-82D4-440E-B808-FD32A437CB6B}" name="# Fatalities" dataDxfId="161"/>
    <tableColumn id="3" xr3:uid="{904C8148-6AB7-4F92-B357-DC0F625D51E9}" name="# Cases of Recordable Work-related Ill Health (1)" dataDxfId="160"/>
    <tableColumn id="4" xr3:uid="{BBED131F-D07A-401A-99ED-8A4C7FFF34C5}" name="Main Types of Work-related Ill Health (1)" dataDxfId="159"/>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EB8F7613-49CF-4F4E-AEB6-235D611747F5}" name="Tabla52" displayName="Tabla52" ref="A70:B77" totalsRowShown="0" headerRowDxfId="404" dataDxfId="403">
  <autoFilter ref="A70:B77" xr:uid="{EB8F7613-49CF-4F4E-AEB6-235D611747F5}"/>
  <tableColumns count="2">
    <tableColumn id="1" xr3:uid="{6C850948-522B-47EC-9329-01D4FBDAD26D}" name="Voluntary Commitments" dataDxfId="402" dataCellStyle="Hipervínculo"/>
    <tableColumn id="2" xr3:uid="{D129B39B-6FB3-428D-AC29-E00DA948AC7E}" name="Mission / Objective" dataDxfId="401"/>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08B0D25-D1AE-49B2-9875-10B9D5DC9037}" name="Tabla33" displayName="Tabla33" ref="A91:D96" totalsRowShown="0" headerRowDxfId="158" dataDxfId="157">
  <autoFilter ref="A91:D96" xr:uid="{D08B0D25-D1AE-49B2-9875-10B9D5DC9037}"/>
  <tableColumns count="4">
    <tableColumn id="1" xr3:uid="{5C6F5390-FF78-40C4-AFA7-F26DD3573D41}" name="Site" dataDxfId="156"/>
    <tableColumn id="2" xr3:uid="{D3C66C24-FACA-46F3-9FCA-4FA8564F9F3E}" name="# Fatalities" dataDxfId="155"/>
    <tableColumn id="3" xr3:uid="{74EB331D-F73E-413D-854F-E8433CEDAD2F}" name="# Cases of Recordable Work-related Ill Health (1)" dataDxfId="154"/>
    <tableColumn id="4" xr3:uid="{7A3C5EBA-CD69-4031-BAA5-7F16169BECDF}" name="Main Types of Work-related Ill Health (1)" dataDxfId="153"/>
  </tableColumns>
  <tableStyleInfo name="TableStyleLight1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402319C-424D-436E-9938-3C96E66F3E32}" name="Tabla41" displayName="Tabla41" ref="A18:C23" totalsRowShown="0" headerRowDxfId="152" dataDxfId="151">
  <autoFilter ref="A18:C23" xr:uid="{8402319C-424D-436E-9938-3C96E66F3E32}"/>
  <tableColumns count="3">
    <tableColumn id="1" xr3:uid="{B9DA1C27-5CAF-4CD8-B837-275A3F88BE79}" name="Changes in Access to Basic Services" dataDxfId="150"/>
    <tableColumn id="2" xr3:uid="{507AF5E2-F486-4C1C-8CE7-B78D9EE2D2A4}" name="Limon Complex" dataDxfId="149"/>
    <tableColumn id="3" xr3:uid="{C24BE392-A080-4388-B320-426D4DF5393C}" name="Libertad Complex" dataDxfId="148"/>
  </tableColumns>
  <tableStyleInfo name="TableStyleLight1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8A8B687-2182-4F4A-A17A-EBDBA722B30B}" name="Tabla42" displayName="Tabla42" ref="A29:C34" totalsRowShown="0" headerRowDxfId="147" dataDxfId="146">
  <autoFilter ref="A29:C34" xr:uid="{08A8B687-2182-4F4A-A17A-EBDBA722B30B}"/>
  <tableColumns count="3">
    <tableColumn id="1" xr3:uid="{23483BF4-170D-4588-9301-21A9FEE3ACCB}" name="Changes in Tenure Rights toLand" dataDxfId="145"/>
    <tableColumn id="2" xr3:uid="{2E562FFC-2BF4-49E6-AC0B-6CA399506E47}" name="Limon Complex" dataDxfId="144"/>
    <tableColumn id="3" xr3:uid="{45E19ABD-A704-48C9-A78A-8A673B74DA77}" name="Libertad Complex" dataDxfId="143"/>
  </tableColumns>
  <tableStyleInfo name="TableStyleLight1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C340D90-A089-44A8-BE7E-0B9E601B1146}" name="Tabla43" displayName="Tabla43" ref="A40:C45" totalsRowShown="0" headerRowDxfId="142" dataDxfId="141">
  <autoFilter ref="A40:C45" xr:uid="{CC340D90-A089-44A8-BE7E-0B9E601B1146}"/>
  <tableColumns count="3">
    <tableColumn id="1" xr3:uid="{3929F180-55C7-485C-940D-D0B7FC105DCD}" name="Changes in Housing Conditions" dataDxfId="140"/>
    <tableColumn id="2" xr3:uid="{07168C59-1CBE-4A7D-8D40-3A9457FE72F9}" name="Limon Complex" dataDxfId="139"/>
    <tableColumn id="3" xr3:uid="{749F3812-148E-429D-ADA7-CFC4E88E1DEB}" name="Libertad Complex" dataDxfId="138"/>
  </tableColumns>
  <tableStyleInfo name="TableStyleLight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762CAE4-BF9C-428E-9DA0-3D159705375A}" name="Tabla44" displayName="Tabla44" ref="A51:C56" totalsRowShown="0" headerRowDxfId="137" dataDxfId="136">
  <autoFilter ref="A51:C56" xr:uid="{3762CAE4-BF9C-428E-9DA0-3D159705375A}"/>
  <tableColumns count="3">
    <tableColumn id="1" xr3:uid="{000F8CB0-D0DA-44C1-8B11-6C5720F2F8C9}" name="Changes in Access to Water " dataDxfId="135"/>
    <tableColumn id="2" xr3:uid="{FE00F9D0-6FB2-4893-B8F2-1179608163F8}" name="Limon Complex" dataDxfId="134"/>
    <tableColumn id="3" xr3:uid="{83F839A2-9984-440A-AD1B-966B55669DBB}" name="Libertad Complex" dataDxfId="133"/>
  </tableColumns>
  <tableStyleInfo name="TableStyleLight1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999ED1A-BA8A-4365-B1C6-D5302EDD6604}" name="Tabla45" displayName="Tabla45" ref="A62:C67" totalsRowShown="0" headerRowDxfId="132" dataDxfId="131">
  <autoFilter ref="A62:C67" xr:uid="{B999ED1A-BA8A-4365-B1C6-D5302EDD6604}"/>
  <tableColumns count="3">
    <tableColumn id="1" xr3:uid="{7C38F37D-2653-41DD-9537-DD6A40859BD9}" name="Changes in Access to Sanitation" dataDxfId="130"/>
    <tableColumn id="2" xr3:uid="{F57081E6-3849-4F0C-A3F1-70CA383F185D}" name="Limon Complex" dataDxfId="129"/>
    <tableColumn id="3" xr3:uid="{299156E6-AABB-4174-90F5-A5C67ED7C4B0}" name="Libertad Complex" dataDxfId="128"/>
  </tableColumns>
  <tableStyleInfo name="TableStyleLight1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F8BA7B1E-C07A-493C-8EA2-455BA132A226}" name="Tabla46" displayName="Tabla46" ref="A73:C78" totalsRowShown="0" headerRowDxfId="127" dataDxfId="125" headerRowBorderDxfId="126">
  <autoFilter ref="A73:C78" xr:uid="{F8BA7B1E-C07A-493C-8EA2-455BA132A226}"/>
  <tableColumns count="3">
    <tableColumn id="1" xr3:uid="{14988918-153B-4B12-A04D-5771A3D2C011}" name="Perception on Resettlement Process Inclusiveness" dataDxfId="124"/>
    <tableColumn id="2" xr3:uid="{58DBD0DF-7CEA-48D0-BF19-8349052E8B1A}" name="Limon Complex" dataDxfId="123"/>
    <tableColumn id="3" xr3:uid="{1A9F4B03-6448-45C5-8D27-0F05F39CC592}" name="Libertad Complex" dataDxfId="122"/>
  </tableColumns>
  <tableStyleInfo name="TableStyleLight1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29323F-C0F4-49BC-A646-71BFE8BCF15B}" name="Tabla7" displayName="Tabla7" ref="A4:C5" totalsRowShown="0" headerRowDxfId="121" dataDxfId="120">
  <autoFilter ref="A4:C5" xr:uid="{1129323F-C0F4-49BC-A646-71BFE8BCF15B}"/>
  <tableColumns count="3">
    <tableColumn id="1" xr3:uid="{F7B454CC-6E37-4D10-82C7-529E298142DA}" name="# New suppliers in 2021" dataDxfId="119"/>
    <tableColumn id="2" xr3:uid="{C76DB430-5907-4B35-9BF7-F09FC22005F3}" name="# New suppliers screened in 2021 (1)" dataDxfId="118"/>
    <tableColumn id="3" xr3:uid="{552E9D88-A56F-47C4-B84A-9FDEA7A52F97}" name="% of Total" dataDxfId="117"/>
  </tableColumns>
  <tableStyleInfo name="TableStyleLight1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E8D0DD-EFCA-436E-997A-919095041A54}" name="Tabla59" displayName="Tabla59" ref="A4:D9" totalsRowCount="1" headerRowDxfId="116" dataDxfId="115" totalsRowDxfId="114" totalsRowCellStyle="Total">
  <autoFilter ref="A4:D8" xr:uid="{01E8D0DD-EFCA-436E-997A-919095041A54}"/>
  <tableColumns count="4">
    <tableColumn id="1" xr3:uid="{1A06B123-F208-4DFC-9879-21818C55CD92}" name="Site" totalsRowLabel="Total" dataDxfId="113" totalsRowDxfId="112" totalsRowCellStyle="Total"/>
    <tableColumn id="2" xr3:uid="{98D0DE6F-1FCE-4C9E-8DC5-0365E5D5B953}" name="# Security personnel at site(1)" totalsRowFunction="sum" dataDxfId="111" totalsRowDxfId="110" totalsRowCellStyle="Total"/>
    <tableColumn id="3" xr3:uid="{91297077-F08D-4E36-8272-766D5E7E0C76}" name="# Security personnel who have received formal training" totalsRowFunction="sum" dataDxfId="109" totalsRowDxfId="108" totalsRowCellStyle="Total"/>
    <tableColumn id="4" xr3:uid="{3A907E0F-F070-45C5-B546-AD2C0881B635}" name="% Security personnel trained" totalsRowFunction="custom" dataDxfId="107" totalsRowDxfId="106" dataCellStyle="Porcentaje" totalsRowCellStyle="Total">
      <calculatedColumnFormula>C5/B5</calculatedColumnFormula>
      <totalsRowFormula>Tabla59[[#Totals],['# Security personnel who have received formal training]]/Tabla59[[#Totals],['# Security personnel at site(1)]]</totalsRowFormula>
    </tableColumn>
  </tableColumns>
  <tableStyleInfo name="TableStyleLight1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BE456A6-DC72-4067-B0C6-9BCE8D816A50}" name="Tabla49" displayName="Tabla49" ref="A31:G41" totalsRowShown="0" headerRowDxfId="105" dataDxfId="104">
  <autoFilter ref="A31:G41" xr:uid="{9BE456A6-DC72-4067-B0C6-9BCE8D816A50}"/>
  <tableColumns count="7">
    <tableColumn id="1" xr3:uid="{04078AD2-EF2C-4EBC-ABE9-AC683FF21C6A}" name="Location" dataDxfId="103"/>
    <tableColumn id="2" xr3:uid="{20B3E0BA-566B-4A08-A158-B8F81B93623F}" name="Infrastructure Investments" dataDxfId="102"/>
    <tableColumn id="3" xr3:uid="{ACC23EFF-A2FA-4C1D-B3DE-CA83DB929103}" name="Scope" dataDxfId="101"/>
    <tableColumn id="4" xr3:uid="{199A53B5-9F36-4C51-8435-B380465BA3AD}" name=" Cost (2021 investment) " dataDxfId="100"/>
    <tableColumn id="5" xr3:uid="{F580547B-5544-47FA-9CA8-7383E6759441}" name="Type" dataDxfId="99"/>
    <tableColumn id="6" xr3:uid="{8E340006-E884-487B-968E-C79FC1EA4B4A}" name="Duration" dataDxfId="98"/>
    <tableColumn id="7" xr3:uid="{F3F90355-051B-48CD-B6D5-444DE36CDAD1}" name="Current or Expected Impacts on Communities and Local Economies" dataDxfId="97"/>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55C85F9D-B5C7-4EFB-83F5-4DE1585C7280}" name="Tabla54" displayName="Tabla54" ref="A100:B114" totalsRowShown="0" headerRowDxfId="400" dataDxfId="399">
  <autoFilter ref="A100:B114" xr:uid="{55C85F9D-B5C7-4EFB-83F5-4DE1585C7280}"/>
  <tableColumns count="2">
    <tableColumn id="1" xr3:uid="{1AFD32AA-D901-4DBD-97FE-51A468715281}" name="Material Topics as per its Significance" dataDxfId="398"/>
    <tableColumn id="2" xr3:uid="{E7F028C9-92BA-43CC-8E6B-A88F8DBCBFF0}" name="Relevant Subtopics" dataDxfId="397"/>
  </tableColumns>
  <tableStyleInfo name="TableStyleLight1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0544693-6EFF-4706-8319-18E6A32C9E4D}" name="Tabla50" displayName="Tabla50" ref="A48:B53" totalsRowShown="0" headerRowDxfId="96" dataDxfId="95">
  <autoFilter ref="A48:B53" xr:uid="{D0544693-6EFF-4706-8319-18E6A32C9E4D}"/>
  <tableColumns count="2">
    <tableColumn id="1" xr3:uid="{9001F3DB-5776-4719-832D-E1B241C6D3CE}" name="Examples" dataDxfId="94"/>
    <tableColumn id="2" xr3:uid="{479F1F83-5FE7-49E9-950C-F7CB40E980B8}" name="Significance of the Impacts in the Context of External Benchmark and Stakeholder Priorities" dataDxfId="93"/>
  </tableColumns>
  <tableStyleInfo name="TableStyleLight1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7301AE56-A115-4EAE-B2D9-16CD347F4A0A}" name="Tabla51" displayName="Tabla51" ref="A59:F60" totalsRowShown="0" headerRowDxfId="92" dataDxfId="91">
  <autoFilter ref="A59:F60" xr:uid="{7301AE56-A115-4EAE-B2D9-16CD347F4A0A}"/>
  <tableColumns count="6">
    <tableColumn id="1" xr3:uid="{6DE810C5-8B41-4778-AF10-C768FFA1FDFC}" name="Total Procurement Spent" dataDxfId="90"/>
    <tableColumn id="2" xr3:uid="{784D6780-0772-407B-B09E-23B1AAD9B43E}" name="Procurement Spent on International Suppliers" dataDxfId="89"/>
    <tableColumn id="3" xr3:uid="{B5F507E1-5917-4645-8390-84AEFBC6C131}" name="Procurement Spent on National, Non-local (1) Suppliers" dataDxfId="88"/>
    <tableColumn id="4" xr3:uid="{0BD493D3-9C1C-4AC3-B434-F28501CC6C87}" name="Procurement Spent on National,  Local (2) Suppliers" dataDxfId="87"/>
    <tableColumn id="5" xr3:uid="{E339A78A-FB55-468E-8D1B-5E4F3C9C3D9B}" name="% of Procurement Spent on Local Suppliers" dataDxfId="86"/>
    <tableColumn id="6" xr3:uid="{842749F8-244C-44DB-AEB7-4AA1E4D45A9F}" name="% of Procurement Spent on National  (local and non-local) Suppliers " dataDxfId="85"/>
  </tableColumns>
  <tableStyleInfo name="TableStyleLight1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7A981EC-AA49-43C8-92DC-839EEFF6067D}" name="Tabla12" displayName="Tabla12" ref="A4:C7" totalsRowCount="1" headerRowDxfId="84" dataDxfId="83" totalsRowDxfId="82" totalsRowCellStyle="Total">
  <autoFilter ref="A4:C6" xr:uid="{07A981EC-AA49-43C8-92DC-839EEFF6067D}"/>
  <tableColumns count="3">
    <tableColumn id="1" xr3:uid="{ACB3B9B0-8497-4B78-AF72-78FF33CD8946}" name="Site" totalsRowLabel="Total" dataDxfId="81" totalsRowDxfId="80" totalsRowCellStyle="Total"/>
    <tableColumn id="3" xr3:uid="{BF1DC83A-8F34-4966-9D54-049C5AD79DF3}" name="2020" totalsRowFunction="sum" dataDxfId="79" totalsRowDxfId="78" totalsRowCellStyle="Total"/>
    <tableColumn id="4" xr3:uid="{326932C2-419D-47E6-BB64-9F8FB0294C04}" name="2021" totalsRowFunction="sum" dataDxfId="77" totalsRowDxfId="76" totalsRowCellStyle="Total"/>
  </tableColumns>
  <tableStyleInfo name="TableStyleLight1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C89E8D-51A0-47CF-94BB-0EE43DBBEE3B}" name="Tabla14" displayName="Tabla14" ref="A31:D34" totalsRowCount="1" headerRowDxfId="75" dataDxfId="74" totalsRowDxfId="73">
  <autoFilter ref="A31:D33" xr:uid="{1AC89E8D-51A0-47CF-94BB-0EE43DBBEE3B}"/>
  <tableColumns count="4">
    <tableColumn id="1" xr3:uid="{9D64AE41-223B-4748-94D5-9D81B5483C9F}" name="Waste composition, in metric tonnes (t)" totalsRowLabel="Total" dataDxfId="72" totalsRowDxfId="71"/>
    <tableColumn id="2" xr3:uid="{B6F700FE-4BD1-4A54-AF51-08504C2FCFC5}" name="Waste generated" totalsRowFunction="sum" dataDxfId="70" totalsRowDxfId="69"/>
    <tableColumn id="3" xr3:uid="{010BA740-31E5-4565-A703-DDC83F3B0AAD}" name="Waste diverted from disposal" totalsRowFunction="sum" dataDxfId="68" totalsRowDxfId="67"/>
    <tableColumn id="4" xr3:uid="{C89697B9-C480-4FD9-B8D3-AD8D9ADAB1C8}" name="Waste directed to disposal" totalsRowFunction="sum" dataDxfId="66" totalsRowDxfId="65"/>
  </tableColumns>
  <tableStyleInfo name="TableStyleLight1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5E918D-FAA2-41EB-B104-0EE759EA7EDA}" name="Tabla15" displayName="Tabla15" ref="A41:D50" totalsRowShown="0" headerRowDxfId="64" dataDxfId="63">
  <autoFilter ref="A41:D50" xr:uid="{F05E918D-FAA2-41EB-B104-0EE759EA7EDA}"/>
  <tableColumns count="4">
    <tableColumn id="1" xr3:uid="{1656FEBB-685D-432B-8796-56F5077CD8CA}" name="2021 Non-mineral waste diverted from disposal by recovery operation in metric tonnes (t)" dataDxfId="62"/>
    <tableColumn id="2" xr3:uid="{05C7DFB0-08E6-4401-AC7B-B9A498418665}" name="Onsite" dataDxfId="61"/>
    <tableColumn id="3" xr3:uid="{33270E1D-16A7-40A1-9ECA-C8D7AA76D802}" name="Offsite" dataDxfId="60"/>
    <tableColumn id="4" xr3:uid="{481AB29C-DCF3-43D3-97D9-DC0802560167}" name="Total" dataDxfId="59"/>
  </tableColumns>
  <tableStyleInfo name="TableStyleLight1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684741F-E539-45B1-8856-158D3DFAF689}" name="Tabla16" displayName="Tabla16" ref="A57:D68" totalsRowCount="1" headerRowDxfId="58" dataDxfId="57" totalsRowDxfId="56" totalsRowCellStyle="Total">
  <autoFilter ref="A57:D67" xr:uid="{7684741F-E539-45B1-8856-158D3DFAF689}"/>
  <tableColumns count="4">
    <tableColumn id="1" xr3:uid="{F0CAE58B-77B0-4B5D-8AE3-9C7EF817E388}" name="2021 non-mineral waste directed to disposal, by disposal operation in metric tonnes (t)" totalsRowLabel="Total" dataDxfId="55" totalsRowDxfId="54" totalsRowCellStyle="Total"/>
    <tableColumn id="2" xr3:uid="{3A814BD2-F1FA-47B3-93E8-E0370F133558}" name="Onsite" dataDxfId="53" totalsRowDxfId="52" totalsRowCellStyle="Total"/>
    <tableColumn id="3" xr3:uid="{F009E036-8295-4D25-A896-2D6E2FB378D3}" name="Offsite" dataDxfId="51" totalsRowDxfId="50" totalsRowCellStyle="Total"/>
    <tableColumn id="4" xr3:uid="{103CE8F0-8860-4568-A86A-6D434F9511DE}" name="Total" totalsRowFunction="custom" dataDxfId="49" totalsRowDxfId="48" totalsRowCellStyle="Total">
      <totalsRowFormula>D58+D63</totalsRowFormula>
    </tableColumn>
  </tableColumns>
  <tableStyleInfo name="TableStyleLight1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1AEA64E-CF9A-4A0D-8E4E-EF12EF3C3E09}" name="Tabla17" displayName="Tabla17" ref="A75:F76" totalsRowShown="0" headerRowDxfId="47" dataDxfId="46">
  <autoFilter ref="A75:F76" xr:uid="{01AEA64E-CF9A-4A0D-8E4E-EF12EF3C3E09}"/>
  <tableColumns count="6">
    <tableColumn id="1" xr3:uid="{D4473053-A149-4562-B74B-73DAA6E32884}" name="Scrap metal" dataDxfId="45"/>
    <tableColumn id="2" xr3:uid="{A6CC9F43-6B02-45F9-BB5E-C60FEB345A28}" name="Reject Coal" dataDxfId="44"/>
    <tableColumn id="3" xr3:uid="{8F789DD0-0804-4A45-9396-100D17B1E14F}" name="Used Oil" dataDxfId="43"/>
    <tableColumn id="4" xr3:uid="{5293FDA3-9C40-4C9F-ADA2-285C60A7A52E}" name="Tires" dataDxfId="42"/>
    <tableColumn id="5" xr3:uid="{2BB7AC63-4439-4F03-A7CE-C8F7F657A92E}" name="Batteries" dataDxfId="41"/>
    <tableColumn id="6" xr3:uid="{85F64C15-6A8C-41D4-8D7B-F1E7740CD1D9}" name="Other Solid Wastes" dataDxfId="40"/>
  </tableColumns>
  <tableStyleInfo name="TableStyleLight1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77DB870-7872-44CA-BFF3-94BD70D15A32}" name="Tabla18" displayName="Tabla18" ref="A83:L85" totalsRowShown="0" headerRowDxfId="39" dataDxfId="38">
  <autoFilter ref="A83:L85" xr:uid="{177DB870-7872-44CA-BFF3-94BD70D15A32}"/>
  <tableColumns count="12">
    <tableColumn id="1" xr3:uid="{8956F0B1-1B9F-4CE9-A4F5-155DBFB6C69F}" name="(a) Facility name" dataDxfId="37"/>
    <tableColumn id="2" xr3:uid="{951D0920-54FF-4F15-A11D-2CAE000446E1}" name="(b) Location" dataDxfId="36"/>
    <tableColumn id="3" xr3:uid="{72B433F6-7654-41F6-8BD1-8BD43FAA62A2}" name="(c) Ownership Status" dataDxfId="35"/>
    <tableColumn id="4" xr3:uid="{B987B214-97AF-45C9-AEF8-F9029E3CF7DA}" name="(d) Operational Status" dataDxfId="34"/>
    <tableColumn id="5" xr3:uid="{1A106A6E-30A5-494B-AC26-F3AA3B8F1AFB}" name="(e) Construction Method" dataDxfId="33"/>
    <tableColumn id="6" xr3:uid="{45D7EF97-944C-46E0-A4E8-440B6AC7D869}" name="(f) Maximum Permitted Storage Capacity (t)" dataDxfId="32"/>
    <tableColumn id="7" xr3:uid="{C19B5781-9105-4380-9228-735352A04D0F}" name="(g) Current Amount of Tailings Stored" dataDxfId="31"/>
    <tableColumn id="8" xr3:uid="{67E50E66-7229-4B3E-8BE2-83FF3BDC54AD}" name="(h) Consequence Classification" dataDxfId="30"/>
    <tableColumn id="9" xr3:uid="{FE8AAAC1-B36E-401E-946E-0D076EBE73DE}" name="(i) Date of Most Recent Independent Technical Review" dataDxfId="29"/>
    <tableColumn id="10" xr3:uid="{B7045483-CD38-413A-A095-391989335391}" name="(j) Material Findings" dataDxfId="28"/>
    <tableColumn id="11" xr3:uid="{E9193187-6A0F-4696-A157-3524AB431526}" name="(k) Mitigation Measures" dataDxfId="27"/>
    <tableColumn id="12" xr3:uid="{77215E84-7454-498E-8BCA-9C05534609E4}" name="(l) Site-specific EPRP" dataDxfId="26"/>
  </tableColumns>
  <tableStyleInfo name="TableStyleLight1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98A7E51-DD27-411B-84E8-36A1E013E57A}" name="Tabla19" displayName="Tabla19" ref="A91:E94" totalsRowCount="1" headerRowDxfId="25" dataDxfId="24" totalsRowDxfId="23" totalsRowCellStyle="Total">
  <autoFilter ref="A91:E93" xr:uid="{898A7E51-DD27-411B-84E8-36A1E013E57A}"/>
  <tableColumns count="5">
    <tableColumn id="1" xr3:uid="{D06CE283-BD68-4216-8151-7B124254EE12}" name="Site" totalsRowLabel="Total" dataDxfId="22" totalsRowDxfId="21" totalsRowCellStyle="Total"/>
    <tableColumn id="2" xr3:uid="{787551E4-84BA-4136-A406-0005666546F1}" name="# TSF with High Hazard Potential" totalsRowFunction="sum" dataDxfId="20" totalsRowDxfId="19" totalsRowCellStyle="Total"/>
    <tableColumn id="3" xr3:uid="{78226F77-1C5B-4A05-871B-760FAB91220C}" name="# TSF with Significant Hazard Potential" totalsRowFunction="sum" dataDxfId="18" totalsRowDxfId="17" totalsRowCellStyle="Total"/>
    <tableColumn id="4" xr3:uid="{8C09A30A-6AE4-443A-9A88-89DDEE15C164}" name="# TSF with Low Hazard Potential" totalsRowFunction="sum" dataDxfId="16" totalsRowDxfId="15" totalsRowCellStyle="Total"/>
    <tableColumn id="5" xr3:uid="{316FAC63-F20E-4CEA-A229-55365B9495B8}" name="Total of Tailing Impoundments" totalsRowFunction="sum" dataDxfId="14" totalsRowDxfId="13" totalsRowCellStyle="Total"/>
  </tableColumns>
  <tableStyleInfo name="TableStyleLight1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3D92A8-BE93-4F83-ACE3-CE60CCAA92BF}" name="Tabla11" displayName="Tabla11" ref="A65:H70" totalsRowShown="0" headerRowDxfId="12" dataDxfId="10" headerRowBorderDxfId="11" tableBorderDxfId="9" totalsRowBorderDxfId="8">
  <autoFilter ref="A65:H70" xr:uid="{523D92A8-BE93-4F83-ACE3-CE60CCAA92BF}"/>
  <tableColumns count="8">
    <tableColumn id="1" xr3:uid="{BAF320A5-F5EC-44B7-8A43-4C7F25BB889D}" name="Water consumption" dataDxfId="7"/>
    <tableColumn id="2" xr3:uid="{D71576FC-A520-4822-92ED-083C3D826C29}" name="Limon Complex" dataDxfId="6"/>
    <tableColumn id="3" xr3:uid="{492B1ABE-2CA7-4B8E-8669-53AB030BA032}" name="Libertad Complex" dataDxfId="5"/>
    <tableColumn id="4" xr3:uid="{EA8A30DA-4668-4295-9D10-39ADDE5CB843}" name="Total" dataDxfId="4"/>
    <tableColumn id="5" xr3:uid="{7DB4CFD7-455A-4B5F-85DC-1B3AEA5AC0B8}" name="Limon Complex2" dataDxfId="3"/>
    <tableColumn id="6" xr3:uid="{8BA8FB43-A7E0-4E05-B1CA-5C3F419511C7}" name="Libertad Complex3" dataDxfId="2"/>
    <tableColumn id="7" xr3:uid="{D2F3611B-79DA-4511-8D9A-94810136B180}" name="Eastern Borosi Project (EBP)" dataDxfId="1"/>
    <tableColumn id="8" xr3:uid="{0BAFAC6C-A303-4B19-BBB9-E275674288BE}" name="Total2" dataDxfId="0"/>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BC62A3F-D74D-46D4-BDC2-FF7631AAA9AD}" name="Tabla47" displayName="Tabla47" ref="A4:F8" totalsRowShown="0" headerRowDxfId="396" dataDxfId="395">
  <autoFilter ref="A4:F8" xr:uid="{9BC62A3F-D74D-46D4-BDC2-FF7631AAA9AD}"/>
  <tableColumns count="6">
    <tableColumn id="1" xr3:uid="{E2192A12-401D-442D-95FB-D7EB4E1B47D5}" name="Site" dataDxfId="394"/>
    <tableColumn id="2" xr3:uid="{12D910CA-2492-40DF-8F7A-7E1362E49E74}" name="ASM Present?" dataDxfId="393"/>
    <tableColumn id="3" xr3:uid="{4024CBA2-F969-4CBC-BD20-F537C7D209E1}" name="Location" dataDxfId="392"/>
    <tableColumn id="4" xr3:uid="{44202D3E-78F1-4FB7-AE2D-F4737240440E}" name="# ASM Workers" dataDxfId="391"/>
    <tableColumn id="5" xr3:uid="{B42EE57B-14FC-44BF-8515-C77BAC72A91F}" name="Associated Risks" dataDxfId="390"/>
    <tableColumn id="6" xr3:uid="{90D9B2CB-720D-468A-9791-94CC2666E5ED}" name="Actions Taken" dataDxfId="389"/>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4EDC3869-4941-4CEA-B632-DB9607F99D8E}" name="Tabla48" displayName="Tabla48" ref="A16:G20" totalsRowCount="1" headerRowDxfId="388" dataDxfId="387" totalsRowDxfId="386" totalsRowCellStyle="Total">
  <autoFilter ref="A16:G19" xr:uid="{4EDC3869-4941-4CEA-B632-DB9607F99D8E}"/>
  <tableColumns count="7">
    <tableColumn id="1" xr3:uid="{AE04C3EE-4C7E-43F1-8D64-C296DB8C2BC5}" name="Site of Origin" totalsRowLabel="Total" dataDxfId="385" totalsRowDxfId="384" totalsRowCellStyle="Total"/>
    <tableColumn id="2" xr3:uid="{CD76B577-BD8E-4DE8-A58F-A3ADAE7EC8EA}" name="Ore Purchased (tonnes)" totalsRowFunction="sum" dataDxfId="383" totalsRowDxfId="382" totalsRowCellStyle="Total"/>
    <tableColumn id="3" xr3:uid="{9F548C5A-B997-4301-B2DB-BB82563583EE}" name="Hg (ounces) / tonne ore (1)" dataDxfId="381" totalsRowDxfId="380" totalsRowCellStyle="Total"/>
    <tableColumn id="4" xr3:uid="{9C2C4D7F-E67A-4E58-AE6B-7BA4425D8275}" name="Total Hg (ounces)" totalsRowFunction="sum" dataDxfId="379" totalsRowDxfId="378" totalsRowCellStyle="Total"/>
    <tableColumn id="5" xr3:uid="{9A2EB669-494A-4A9A-9F9B-20AD83F04ABB}" name="Total Hg (tonnes)" totalsRowFunction="sum" dataDxfId="377" totalsRowDxfId="376" totalsRowCellStyle="Total"/>
    <tableColumn id="6" xr3:uid="{D17F1121-2C51-4E49-B6CC-23D849125567}" name="H2O (cubic meters) / tonne ore (1)" dataDxfId="375" totalsRowDxfId="374" totalsRowCellStyle="Total"/>
    <tableColumn id="7" xr3:uid="{BFED1526-D820-43EE-8606-CEF3295E4796}" name="Total H2O (cubic meters)" totalsRowFunction="sum" dataDxfId="373" totalsRowDxfId="372" totalsRowCellStyle="Total"/>
  </tableColumns>
  <tableStyleInfo name="TableStyleLight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0BD0826-B1AF-41CE-900F-2091AF530C0E}" name="Tabla20" displayName="Tabla20" ref="A4:G8" totalsRowShown="0" headerRowDxfId="371" dataDxfId="370">
  <autoFilter ref="A4:G8" xr:uid="{C0BD0826-B1AF-41CE-900F-2091AF530C0E}"/>
  <tableColumns count="7">
    <tableColumn id="1" xr3:uid="{8FAC4D30-8FFB-4721-BFD4-F123F058064B}" name="Site" dataDxfId="369"/>
    <tableColumn id="2" xr3:uid="{72E9B8AA-54DD-43B3-B629-9C8E8CABF10D}" name="Nature of Impact" dataDxfId="368"/>
    <tableColumn id="3" xr3:uid="{D8DA94D6-F9DE-4BD8-B399-0F4F5D72E9C6}" name="Type of Impact" dataDxfId="367"/>
    <tableColumn id="4" xr3:uid="{DF696072-B173-4271-9BAC-5791B18B3A69}" name="Species Affected" dataDxfId="366"/>
    <tableColumn id="5" xr3:uid="{8C83C025-9F60-4FF8-86EC-4A2CABF4D7F0}" name="Size of Area in Km2" dataDxfId="365"/>
    <tableColumn id="6" xr3:uid="{7F1AC567-614D-4898-BACB-43E468EC206C}" name="Duration" dataDxfId="364"/>
    <tableColumn id="7" xr3:uid="{98854171-DF7A-4A12-B802-967E501CDC13}" name="Reversible?" dataDxfId="363"/>
  </tableColumns>
  <tableStyleInfo name="TableStyleLight1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E622B59-38FE-464B-9DD4-C3EE126618B9}" name="Tabla21" displayName="Tabla21" ref="A14:H17" totalsRowCount="1" headerRowDxfId="362" dataDxfId="361" totalsRowDxfId="360" totalsRowCellStyle="Total">
  <autoFilter ref="A14:H16" xr:uid="{5E622B59-38FE-464B-9DD4-C3EE126618B9}"/>
  <tableColumns count="8">
    <tableColumn id="1" xr3:uid="{39E7CDEE-2C64-45B1-8E99-A387329A4485}" name="Site" totalsRowLabel="Total" dataDxfId="359" totalsRowDxfId="358" totalsRowCellStyle="Total"/>
    <tableColumn id="2" xr3:uid="{90D5B4D1-6D51-48BC-90EC-EC67CE59B3B0}" name="Size of Habitat Protected (1) in Km2" totalsRowFunction="sum" dataDxfId="357" totalsRowDxfId="356" totalsRowCellStyle="Total"/>
    <tableColumn id="3" xr3:uid="{8E3399DA-519B-49D0-BAEE-CF21D149D996}" name="Geographic Location of Habitat Protected" dataDxfId="355" totalsRowDxfId="354" totalsRowCellStyle="Total"/>
    <tableColumn id="4" xr3:uid="{81FBFE2F-5F57-4C90-B510-B550ED092AEC}" name="Size of Habitat Restored in Km2" totalsRowFunction="sum" dataDxfId="353" totalsRowDxfId="352" totalsRowCellStyle="Total"/>
    <tableColumn id="5" xr3:uid="{8F560D90-A9D3-4B1F-8DDA-C869F94CD4EB}" name="Geographic Location of Habitat Restored" dataDxfId="351" totalsRowDxfId="350" totalsRowCellStyle="Total"/>
    <tableColumn id="6" xr3:uid="{48A94581-55CE-4F56-B39F-1301F885CD41}" name="Restoration Subject to Independent Inspection / Audit?" dataDxfId="349" totalsRowDxfId="348" totalsRowCellStyle="Total"/>
    <tableColumn id="7" xr3:uid="{EB4C3FD5-46D2-494C-934D-1572B0AC8AF7}" name="Partnership with Third Parties?" dataDxfId="347" totalsRowDxfId="346" totalsRowCellStyle="Total"/>
    <tableColumn id="8" xr3:uid="{160CC90E-6FE2-4004-9D61-67D47203126B}" name="Status of Area" totalsRowFunction="count" dataDxfId="345" totalsRowDxfId="344" totalsRowCellStyle="Total"/>
  </tableColumns>
  <tableStyleInfo name="TableStyleLight1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4AB07E2-24AC-486C-B7DA-FF5427283E97}" name="Tabla22" displayName="Tabla22" ref="A22:E27" totalsRowCount="1" headerRowDxfId="343" dataDxfId="342" totalsRowDxfId="341" totalsRowCellStyle="Total">
  <autoFilter ref="A22:E26" xr:uid="{54AB07E2-24AC-486C-B7DA-FF5427283E97}"/>
  <tableColumns count="5">
    <tableColumn id="1" xr3:uid="{2017E50D-CA4C-47F5-BE87-F5DEE82A2D7D}" name="Site  " totalsRowLabel="Total" dataDxfId="340" totalsRowDxfId="339" totalsRowCellStyle="Total"/>
    <tableColumn id="2" xr3:uid="{980855A6-7657-4714-B2A1-0C92D52758DE}" name="Total Disturbance at Beginning of Reporting Period (opening balance) - Km2" totalsRowFunction="sum" dataDxfId="338" totalsRowDxfId="337" totalsRowCellStyle="Total"/>
    <tableColumn id="3" xr3:uid="{2AE74937-7D9A-4540-96C7-99DFE6BE9F0C}" name="New Disturbance During 2021 - Km2" totalsRowFunction="sum" dataDxfId="336" totalsRowDxfId="335" totalsRowCellStyle="Total"/>
    <tableColumn id="4" xr3:uid="{3A945350-EBFE-4BE6-B996-8E4E4FE73DF2}" name="Achieved Reclamation (to agreed upon end use) During Reporting Period - Km2 (1)" totalsRowFunction="sum" dataDxfId="334" totalsRowDxfId="333" totalsRowCellStyle="Total"/>
    <tableColumn id="5" xr3:uid="{3D78F47E-7F03-4B51-9470-029548CA59E8}" name="Total Disturbance not yet Reclaimed (to agreed upon end use) at End of Reporting Period (closing balance) - Km2" totalsRowFunction="sum" dataDxfId="332" totalsRowDxfId="331" totalsRowCellStyle="Total"/>
  </tableColumns>
  <tableStyleInfo name="TableStyleLight12" showFirstColumn="0" showLastColumn="0" showRowStripes="1" showColumnStripes="0"/>
</table>
</file>

<file path=xl/theme/theme1.xml><?xml version="1.0" encoding="utf-8"?>
<a:theme xmlns:a="http://schemas.openxmlformats.org/drawingml/2006/main" name="Tema de Office">
  <a:themeElements>
    <a:clrScheme name="Calibre">
      <a:dk1>
        <a:srgbClr val="000000"/>
      </a:dk1>
      <a:lt1>
        <a:srgbClr val="FFFFFF"/>
      </a:lt1>
      <a:dk2>
        <a:srgbClr val="003084"/>
      </a:dk2>
      <a:lt2>
        <a:srgbClr val="F2F2F2"/>
      </a:lt2>
      <a:accent1>
        <a:srgbClr val="003084"/>
      </a:accent1>
      <a:accent2>
        <a:srgbClr val="00620A"/>
      </a:accent2>
      <a:accent3>
        <a:srgbClr val="D49600"/>
      </a:accent3>
      <a:accent4>
        <a:srgbClr val="6073A9"/>
      </a:accent4>
      <a:accent5>
        <a:srgbClr val="68916B"/>
      </a:accent5>
      <a:accent6>
        <a:srgbClr val="C3C9DE"/>
      </a:accent6>
      <a:hlink>
        <a:srgbClr val="00620A"/>
      </a:hlink>
      <a:folHlink>
        <a:srgbClr val="9696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2-04-22T20:41:53.67" personId="{75737D67-E953-4971-9BAB-600ECD200C8A}" id="{A40D2AFB-FFEC-4DA9-AC87-5B38316F8378}" done="1">
    <text>Suggest making table name consistent with updated table name in report: Estimated Mercury (Hg) and Untreated Wastewater Pollution from Artisanal Mills Avoided due to Calibre Ore Processing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table" Target="../tables/table31.xml"/><Relationship Id="rId1" Type="http://schemas.openxmlformats.org/officeDocument/2006/relationships/drawing" Target="../drawings/drawing11.xml"/><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14.xml"/><Relationship Id="rId1" Type="http://schemas.openxmlformats.org/officeDocument/2006/relationships/printerSettings" Target="../printerSettings/printerSettings6.bin"/><Relationship Id="rId5" Type="http://schemas.openxmlformats.org/officeDocument/2006/relationships/table" Target="../tables/table41.xml"/><Relationship Id="rId4" Type="http://schemas.openxmlformats.org/officeDocument/2006/relationships/table" Target="../tables/table40.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48.xml"/><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drawing" Target="../drawings/drawing15.xml"/><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frs.org/" TargetMode="External"/><Relationship Id="rId13" Type="http://schemas.openxmlformats.org/officeDocument/2006/relationships/drawing" Target="../drawings/drawing2.xml"/><Relationship Id="rId3" Type="http://schemas.openxmlformats.org/officeDocument/2006/relationships/hyperlink" Target="https://www.calibremining.com/esg/overview/" TargetMode="External"/><Relationship Id="rId7" Type="http://schemas.openxmlformats.org/officeDocument/2006/relationships/hyperlink" Target="https://cyanidecode.org/" TargetMode="External"/><Relationship Id="rId12" Type="http://schemas.openxmlformats.org/officeDocument/2006/relationships/printerSettings" Target="../printerSettings/printerSettings2.bin"/><Relationship Id="rId2" Type="http://schemas.openxmlformats.org/officeDocument/2006/relationships/hyperlink" Target="https://www.gold.org/" TargetMode="External"/><Relationship Id="rId16" Type="http://schemas.openxmlformats.org/officeDocument/2006/relationships/table" Target="../tables/table4.xml"/><Relationship Id="rId1" Type="http://schemas.openxmlformats.org/officeDocument/2006/relationships/hyperlink" Target="http://www.calibremining.com/" TargetMode="External"/><Relationship Id="rId6" Type="http://schemas.openxmlformats.org/officeDocument/2006/relationships/hyperlink" Target="https://www.voluntaryprinciples.org/" TargetMode="External"/><Relationship Id="rId11" Type="http://schemas.openxmlformats.org/officeDocument/2006/relationships/hyperlink" Target="https://www.ifc.org/wps/wcm/connect/topics_ext_content/ifc_external_corporate_site/sustainability-at-ifc/publications/publications_handbook_pps" TargetMode="External"/><Relationship Id="rId5" Type="http://schemas.openxmlformats.org/officeDocument/2006/relationships/hyperlink" Target="https://www.ohchr.org/documents/publications/guidingprinciplesbusinesshr_en.pdf" TargetMode="External"/><Relationship Id="rId15" Type="http://schemas.openxmlformats.org/officeDocument/2006/relationships/table" Target="../tables/table3.xml"/><Relationship Id="rId10" Type="http://schemas.openxmlformats.org/officeDocument/2006/relationships/hyperlink" Target="https://www.icmm.com/" TargetMode="External"/><Relationship Id="rId4" Type="http://schemas.openxmlformats.org/officeDocument/2006/relationships/hyperlink" Target="http://caminic.com/" TargetMode="External"/><Relationship Id="rId9" Type="http://schemas.openxmlformats.org/officeDocument/2006/relationships/hyperlink" Target="https://sdgs.un.org/goals" TargetMode="External"/><Relationship Id="rId1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drawing" Target="../drawings/drawing6.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drawing" Target="../drawings/drawing7.xml"/><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drawing" Target="../drawings/drawing9.xml"/><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 Id="rId9"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BD9C3-2674-46E4-920B-1EC236BFA9B9}">
  <sheetPr>
    <tabColor theme="3"/>
    <pageSetUpPr fitToPage="1"/>
  </sheetPr>
  <dimension ref="B12:F98"/>
  <sheetViews>
    <sheetView showGridLines="0" tabSelected="1" zoomScale="90" zoomScaleNormal="90" workbookViewId="0">
      <pane xSplit="1" ySplit="14" topLeftCell="B15" activePane="bottomRight" state="frozen"/>
      <selection pane="topRight" activeCell="B1" sqref="B1"/>
      <selection pane="bottomLeft" activeCell="A15" sqref="A15"/>
      <selection pane="bottomRight" activeCell="B15" sqref="B15:F15"/>
    </sheetView>
  </sheetViews>
  <sheetFormatPr baseColWidth="10" defaultColWidth="11.42578125" defaultRowHeight="15"/>
  <cols>
    <col min="1" max="1" width="4" style="10" customWidth="1"/>
    <col min="2" max="2" width="38.140625" style="10" bestFit="1" customWidth="1"/>
    <col min="3" max="3" width="5" style="10" bestFit="1" customWidth="1"/>
    <col min="4" max="4" width="71" style="10" customWidth="1"/>
    <col min="5" max="5" width="63" style="10" bestFit="1" customWidth="1"/>
    <col min="6" max="6" width="69.42578125" style="10" bestFit="1" customWidth="1"/>
    <col min="7" max="16384" width="11.42578125" style="10"/>
  </cols>
  <sheetData>
    <row r="12" spans="2:6" ht="21.75" thickBot="1">
      <c r="B12" s="376" t="s">
        <v>0</v>
      </c>
      <c r="C12" s="376"/>
      <c r="D12" s="376"/>
      <c r="E12" s="376"/>
      <c r="F12" s="376"/>
    </row>
    <row r="13" spans="2:6" ht="47.25" customHeight="1">
      <c r="B13" s="373" t="s">
        <v>1</v>
      </c>
      <c r="C13" s="373"/>
      <c r="D13" s="373"/>
      <c r="E13" s="373"/>
      <c r="F13" s="373"/>
    </row>
    <row r="15" spans="2:6" ht="18" thickBot="1">
      <c r="B15" s="374" t="s">
        <v>2</v>
      </c>
      <c r="C15" s="374"/>
      <c r="D15" s="374"/>
      <c r="E15" s="374"/>
      <c r="F15" s="374"/>
    </row>
    <row r="16" spans="2:6" ht="15.75" thickTop="1">
      <c r="B16" s="375" t="s">
        <v>3</v>
      </c>
      <c r="C16" s="375"/>
      <c r="D16" s="375"/>
      <c r="E16" s="375"/>
      <c r="F16" s="375"/>
    </row>
    <row r="18" spans="2:6" ht="18" thickBot="1">
      <c r="B18" s="374" t="s">
        <v>4</v>
      </c>
      <c r="C18" s="374"/>
      <c r="D18" s="374"/>
      <c r="E18" s="374"/>
      <c r="F18" s="374"/>
    </row>
    <row r="19" spans="2:6" ht="73.5" customHeight="1" thickTop="1">
      <c r="B19" s="375" t="s">
        <v>5</v>
      </c>
      <c r="C19" s="375"/>
      <c r="D19" s="375"/>
      <c r="E19" s="375"/>
      <c r="F19" s="375"/>
    </row>
    <row r="21" spans="2:6" ht="18" thickBot="1">
      <c r="B21" s="372" t="s">
        <v>6</v>
      </c>
      <c r="C21" s="372"/>
      <c r="D21" s="372"/>
      <c r="E21" s="372"/>
      <c r="F21" s="372"/>
    </row>
    <row r="22" spans="2:6" ht="96.75" customHeight="1" thickTop="1">
      <c r="B22" s="373" t="s">
        <v>7</v>
      </c>
      <c r="C22" s="373"/>
      <c r="D22" s="373"/>
      <c r="E22" s="373"/>
      <c r="F22" s="373"/>
    </row>
    <row r="24" spans="2:6" ht="18" thickBot="1">
      <c r="B24" s="374" t="s">
        <v>8</v>
      </c>
      <c r="C24" s="374"/>
      <c r="D24" s="374"/>
      <c r="E24" s="374"/>
      <c r="F24" s="374"/>
    </row>
    <row r="25" spans="2:6" ht="15.75" thickTop="1">
      <c r="B25" s="375" t="s">
        <v>9</v>
      </c>
      <c r="C25" s="375"/>
      <c r="D25" s="375"/>
      <c r="E25" s="375"/>
      <c r="F25" s="375"/>
    </row>
    <row r="26" spans="2:6">
      <c r="B26" s="11"/>
      <c r="C26" s="11"/>
      <c r="D26" s="11"/>
      <c r="E26" s="11"/>
      <c r="F26" s="11"/>
    </row>
    <row r="27" spans="2:6">
      <c r="B27" s="14" t="s">
        <v>10</v>
      </c>
      <c r="C27" s="14" t="s">
        <v>11</v>
      </c>
      <c r="D27" s="14" t="s">
        <v>12</v>
      </c>
      <c r="E27" s="14" t="s">
        <v>13</v>
      </c>
      <c r="F27" s="14" t="s">
        <v>14</v>
      </c>
    </row>
    <row r="28" spans="2:6">
      <c r="B28" s="12" t="s">
        <v>15</v>
      </c>
      <c r="C28" s="13">
        <v>1</v>
      </c>
      <c r="D28" s="12" t="s">
        <v>16</v>
      </c>
      <c r="E28" s="12" t="s">
        <v>17</v>
      </c>
      <c r="F28" s="12" t="s">
        <v>18</v>
      </c>
    </row>
    <row r="29" spans="2:6">
      <c r="B29" s="12" t="s">
        <v>15</v>
      </c>
      <c r="C29" s="13">
        <v>2</v>
      </c>
      <c r="D29" s="12" t="s">
        <v>19</v>
      </c>
      <c r="E29" s="12" t="s">
        <v>20</v>
      </c>
      <c r="F29" s="12" t="s">
        <v>21</v>
      </c>
    </row>
    <row r="30" spans="2:6">
      <c r="B30" s="12" t="s">
        <v>15</v>
      </c>
      <c r="C30" s="13">
        <v>3</v>
      </c>
      <c r="D30" s="12" t="s">
        <v>22</v>
      </c>
      <c r="E30" s="12" t="s">
        <v>23</v>
      </c>
      <c r="F30" s="12" t="s">
        <v>24</v>
      </c>
    </row>
    <row r="31" spans="2:6">
      <c r="B31" s="12" t="s">
        <v>15</v>
      </c>
      <c r="C31" s="13">
        <v>4</v>
      </c>
      <c r="D31" s="12" t="s">
        <v>25</v>
      </c>
      <c r="E31" s="12" t="s">
        <v>26</v>
      </c>
      <c r="F31" s="12" t="s">
        <v>27</v>
      </c>
    </row>
    <row r="32" spans="2:6">
      <c r="B32" s="12" t="s">
        <v>15</v>
      </c>
      <c r="C32" s="13">
        <v>5</v>
      </c>
      <c r="D32" s="12" t="s">
        <v>28</v>
      </c>
      <c r="E32" s="12" t="s">
        <v>29</v>
      </c>
      <c r="F32" s="12" t="s">
        <v>30</v>
      </c>
    </row>
    <row r="33" spans="2:6">
      <c r="B33" s="12" t="s">
        <v>15</v>
      </c>
      <c r="C33" s="13">
        <v>6</v>
      </c>
      <c r="D33" s="12" t="s">
        <v>31</v>
      </c>
      <c r="E33" s="12" t="s">
        <v>32</v>
      </c>
      <c r="F33" s="12" t="s">
        <v>33</v>
      </c>
    </row>
    <row r="34" spans="2:6">
      <c r="B34" s="12" t="s">
        <v>34</v>
      </c>
      <c r="C34" s="13">
        <v>7</v>
      </c>
      <c r="D34" s="12" t="s">
        <v>35</v>
      </c>
      <c r="E34" s="12" t="s">
        <v>36</v>
      </c>
      <c r="F34" s="12" t="s">
        <v>37</v>
      </c>
    </row>
    <row r="35" spans="2:6">
      <c r="B35" s="12" t="s">
        <v>34</v>
      </c>
      <c r="C35" s="12">
        <v>8</v>
      </c>
      <c r="D35" s="12" t="s">
        <v>38</v>
      </c>
      <c r="E35" s="12" t="s">
        <v>39</v>
      </c>
      <c r="F35" s="12" t="s">
        <v>37</v>
      </c>
    </row>
    <row r="36" spans="2:6">
      <c r="B36" s="12" t="s">
        <v>34</v>
      </c>
      <c r="C36" s="12">
        <v>9</v>
      </c>
      <c r="D36" s="12" t="s">
        <v>40</v>
      </c>
      <c r="E36" s="12" t="s">
        <v>41</v>
      </c>
      <c r="F36" s="12" t="s">
        <v>37</v>
      </c>
    </row>
    <row r="37" spans="2:6">
      <c r="B37" s="12" t="s">
        <v>34</v>
      </c>
      <c r="C37" s="12">
        <v>10</v>
      </c>
      <c r="D37" s="12" t="s">
        <v>42</v>
      </c>
      <c r="E37" s="12" t="s">
        <v>43</v>
      </c>
      <c r="F37" s="12" t="s">
        <v>37</v>
      </c>
    </row>
    <row r="38" spans="2:6">
      <c r="B38" s="12" t="s">
        <v>34</v>
      </c>
      <c r="C38" s="12">
        <v>11</v>
      </c>
      <c r="D38" s="12" t="s">
        <v>44</v>
      </c>
      <c r="E38" s="12" t="s">
        <v>45</v>
      </c>
      <c r="F38" s="12" t="s">
        <v>37</v>
      </c>
    </row>
    <row r="39" spans="2:6">
      <c r="B39" s="12" t="s">
        <v>46</v>
      </c>
      <c r="C39" s="12">
        <v>12</v>
      </c>
      <c r="D39" s="12" t="s">
        <v>47</v>
      </c>
      <c r="E39" s="12" t="s">
        <v>48</v>
      </c>
      <c r="F39" s="12" t="s">
        <v>49</v>
      </c>
    </row>
    <row r="40" spans="2:6">
      <c r="B40" s="12" t="s">
        <v>50</v>
      </c>
      <c r="C40" s="12">
        <v>13</v>
      </c>
      <c r="D40" s="12" t="s">
        <v>51</v>
      </c>
      <c r="E40" s="12" t="s">
        <v>52</v>
      </c>
      <c r="F40" s="12" t="s">
        <v>53</v>
      </c>
    </row>
    <row r="41" spans="2:6">
      <c r="B41" s="12" t="s">
        <v>54</v>
      </c>
      <c r="C41" s="12">
        <v>14</v>
      </c>
      <c r="D41" s="12" t="s">
        <v>55</v>
      </c>
      <c r="E41" s="12" t="s">
        <v>56</v>
      </c>
      <c r="F41" s="12" t="s">
        <v>57</v>
      </c>
    </row>
    <row r="42" spans="2:6">
      <c r="B42" s="12" t="s">
        <v>58</v>
      </c>
      <c r="C42" s="12">
        <v>15</v>
      </c>
      <c r="D42" s="12" t="s">
        <v>59</v>
      </c>
      <c r="E42" s="12" t="s">
        <v>17</v>
      </c>
      <c r="F42" s="12" t="s">
        <v>60</v>
      </c>
    </row>
    <row r="43" spans="2:6">
      <c r="B43" s="12" t="s">
        <v>58</v>
      </c>
      <c r="C43" s="12">
        <v>16</v>
      </c>
      <c r="D43" s="12" t="s">
        <v>61</v>
      </c>
      <c r="E43" s="12" t="s">
        <v>62</v>
      </c>
      <c r="F43" s="12" t="s">
        <v>60</v>
      </c>
    </row>
    <row r="44" spans="2:6">
      <c r="B44" s="12" t="s">
        <v>58</v>
      </c>
      <c r="C44" s="12">
        <v>17</v>
      </c>
      <c r="D44" s="12" t="s">
        <v>63</v>
      </c>
      <c r="E44" s="12" t="s">
        <v>64</v>
      </c>
      <c r="F44" s="12" t="s">
        <v>60</v>
      </c>
    </row>
    <row r="45" spans="2:6">
      <c r="B45" s="12" t="s">
        <v>58</v>
      </c>
      <c r="C45" s="12">
        <v>18</v>
      </c>
      <c r="D45" s="12" t="s">
        <v>65</v>
      </c>
      <c r="E45" s="12" t="s">
        <v>66</v>
      </c>
      <c r="F45" s="12" t="s">
        <v>60</v>
      </c>
    </row>
    <row r="46" spans="2:6">
      <c r="B46" s="12" t="s">
        <v>67</v>
      </c>
      <c r="C46" s="12">
        <v>19</v>
      </c>
      <c r="D46" s="12" t="s">
        <v>68</v>
      </c>
      <c r="E46" s="12" t="s">
        <v>66</v>
      </c>
      <c r="F46" s="12" t="s">
        <v>69</v>
      </c>
    </row>
    <row r="47" spans="2:6">
      <c r="B47" s="12" t="s">
        <v>67</v>
      </c>
      <c r="C47" s="12">
        <v>20</v>
      </c>
      <c r="D47" s="12" t="s">
        <v>70</v>
      </c>
      <c r="E47" s="12" t="s">
        <v>71</v>
      </c>
      <c r="F47" s="12" t="s">
        <v>69</v>
      </c>
    </row>
    <row r="48" spans="2:6">
      <c r="B48" s="12" t="s">
        <v>67</v>
      </c>
      <c r="C48" s="12">
        <v>21</v>
      </c>
      <c r="D48" s="12" t="s">
        <v>72</v>
      </c>
      <c r="E48" s="12" t="s">
        <v>73</v>
      </c>
      <c r="F48" s="12" t="s">
        <v>69</v>
      </c>
    </row>
    <row r="49" spans="2:6">
      <c r="B49" s="12" t="s">
        <v>67</v>
      </c>
      <c r="C49" s="12">
        <v>22</v>
      </c>
      <c r="D49" s="12" t="s">
        <v>74</v>
      </c>
      <c r="E49" s="12" t="s">
        <v>75</v>
      </c>
      <c r="F49" s="12" t="s">
        <v>69</v>
      </c>
    </row>
    <row r="50" spans="2:6">
      <c r="B50" s="12" t="s">
        <v>67</v>
      </c>
      <c r="C50" s="12">
        <v>23</v>
      </c>
      <c r="D50" s="12" t="s">
        <v>76</v>
      </c>
      <c r="E50" s="12" t="s">
        <v>77</v>
      </c>
      <c r="F50" s="12" t="s">
        <v>69</v>
      </c>
    </row>
    <row r="51" spans="2:6">
      <c r="B51" s="12" t="s">
        <v>67</v>
      </c>
      <c r="C51" s="12">
        <v>24</v>
      </c>
      <c r="D51" s="12" t="s">
        <v>78</v>
      </c>
      <c r="E51" s="12" t="s">
        <v>79</v>
      </c>
      <c r="F51" s="12" t="s">
        <v>69</v>
      </c>
    </row>
    <row r="52" spans="2:6">
      <c r="B52" s="12" t="s">
        <v>67</v>
      </c>
      <c r="C52" s="12">
        <v>25</v>
      </c>
      <c r="D52" s="12" t="s">
        <v>80</v>
      </c>
      <c r="E52" s="12" t="s">
        <v>81</v>
      </c>
      <c r="F52" s="12" t="s">
        <v>69</v>
      </c>
    </row>
    <row r="53" spans="2:6">
      <c r="B53" s="12" t="s">
        <v>67</v>
      </c>
      <c r="C53" s="12">
        <v>26</v>
      </c>
      <c r="D53" s="12" t="s">
        <v>82</v>
      </c>
      <c r="E53" s="12" t="s">
        <v>83</v>
      </c>
      <c r="F53" s="12" t="s">
        <v>69</v>
      </c>
    </row>
    <row r="54" spans="2:6">
      <c r="B54" s="12" t="s">
        <v>84</v>
      </c>
      <c r="C54" s="12">
        <v>27</v>
      </c>
      <c r="D54" s="12" t="s">
        <v>85</v>
      </c>
      <c r="E54" s="12" t="s">
        <v>86</v>
      </c>
      <c r="F54" s="12" t="s">
        <v>87</v>
      </c>
    </row>
    <row r="55" spans="2:6">
      <c r="B55" s="12" t="s">
        <v>84</v>
      </c>
      <c r="C55" s="12">
        <v>28</v>
      </c>
      <c r="D55" s="12" t="s">
        <v>88</v>
      </c>
      <c r="E55" s="12" t="s">
        <v>89</v>
      </c>
      <c r="F55" s="12" t="s">
        <v>87</v>
      </c>
    </row>
    <row r="56" spans="2:6">
      <c r="B56" s="12" t="s">
        <v>84</v>
      </c>
      <c r="C56" s="12">
        <v>29</v>
      </c>
      <c r="D56" s="12" t="s">
        <v>90</v>
      </c>
      <c r="E56" s="12" t="s">
        <v>91</v>
      </c>
      <c r="F56" s="12" t="s">
        <v>87</v>
      </c>
    </row>
    <row r="57" spans="2:6">
      <c r="B57" s="12" t="s">
        <v>84</v>
      </c>
      <c r="C57" s="12">
        <v>30</v>
      </c>
      <c r="D57" s="12" t="s">
        <v>92</v>
      </c>
      <c r="E57" s="12" t="s">
        <v>93</v>
      </c>
      <c r="F57" s="12" t="s">
        <v>87</v>
      </c>
    </row>
    <row r="58" spans="2:6">
      <c r="B58" s="12" t="s">
        <v>84</v>
      </c>
      <c r="C58" s="12">
        <v>31</v>
      </c>
      <c r="D58" s="12" t="s">
        <v>94</v>
      </c>
      <c r="E58" s="12" t="s">
        <v>95</v>
      </c>
      <c r="F58" s="12" t="s">
        <v>87</v>
      </c>
    </row>
    <row r="59" spans="2:6">
      <c r="B59" s="12" t="s">
        <v>96</v>
      </c>
      <c r="C59" s="12">
        <v>32</v>
      </c>
      <c r="D59" s="12" t="s">
        <v>97</v>
      </c>
      <c r="E59" s="12" t="s">
        <v>98</v>
      </c>
      <c r="F59" s="12" t="s">
        <v>99</v>
      </c>
    </row>
    <row r="60" spans="2:6">
      <c r="B60" s="12" t="s">
        <v>96</v>
      </c>
      <c r="C60" s="12">
        <v>33</v>
      </c>
      <c r="D60" s="12" t="s">
        <v>100</v>
      </c>
      <c r="E60" s="12" t="s">
        <v>101</v>
      </c>
      <c r="F60" s="12" t="s">
        <v>99</v>
      </c>
    </row>
    <row r="61" spans="2:6">
      <c r="B61" s="12" t="s">
        <v>96</v>
      </c>
      <c r="C61" s="12">
        <v>34</v>
      </c>
      <c r="D61" s="12" t="s">
        <v>102</v>
      </c>
      <c r="E61" s="12" t="s">
        <v>103</v>
      </c>
      <c r="F61" s="12" t="s">
        <v>99</v>
      </c>
    </row>
    <row r="62" spans="2:6">
      <c r="B62" s="12" t="s">
        <v>104</v>
      </c>
      <c r="C62" s="12">
        <v>35</v>
      </c>
      <c r="D62" s="12" t="s">
        <v>105</v>
      </c>
      <c r="E62" s="12" t="s">
        <v>106</v>
      </c>
      <c r="F62" s="12" t="s">
        <v>107</v>
      </c>
    </row>
    <row r="63" spans="2:6">
      <c r="B63" s="12" t="s">
        <v>104</v>
      </c>
      <c r="C63" s="12">
        <v>36</v>
      </c>
      <c r="D63" s="12" t="s">
        <v>108</v>
      </c>
      <c r="E63" s="12" t="s">
        <v>109</v>
      </c>
      <c r="F63" s="12" t="s">
        <v>107</v>
      </c>
    </row>
    <row r="64" spans="2:6">
      <c r="B64" s="12" t="s">
        <v>104</v>
      </c>
      <c r="C64" s="12">
        <v>37</v>
      </c>
      <c r="D64" s="12" t="s">
        <v>110</v>
      </c>
      <c r="E64" s="12" t="s">
        <v>111</v>
      </c>
      <c r="F64" s="12" t="s">
        <v>107</v>
      </c>
    </row>
    <row r="65" spans="2:6">
      <c r="B65" s="12" t="s">
        <v>104</v>
      </c>
      <c r="C65" s="12">
        <v>38</v>
      </c>
      <c r="D65" s="12" t="s">
        <v>112</v>
      </c>
      <c r="E65" s="12" t="s">
        <v>113</v>
      </c>
      <c r="F65" s="12" t="s">
        <v>107</v>
      </c>
    </row>
    <row r="66" spans="2:6">
      <c r="B66" s="12" t="s">
        <v>104</v>
      </c>
      <c r="C66" s="12">
        <v>39</v>
      </c>
      <c r="D66" s="12" t="s">
        <v>114</v>
      </c>
      <c r="E66" s="12" t="s">
        <v>115</v>
      </c>
      <c r="F66" s="12" t="s">
        <v>107</v>
      </c>
    </row>
    <row r="67" spans="2:6">
      <c r="B67" s="12" t="s">
        <v>104</v>
      </c>
      <c r="C67" s="12">
        <v>40</v>
      </c>
      <c r="D67" s="12" t="s">
        <v>116</v>
      </c>
      <c r="E67" s="12" t="s">
        <v>117</v>
      </c>
      <c r="F67" s="12" t="s">
        <v>107</v>
      </c>
    </row>
    <row r="68" spans="2:6">
      <c r="B68" s="12" t="s">
        <v>104</v>
      </c>
      <c r="C68" s="12">
        <v>41</v>
      </c>
      <c r="D68" s="12" t="s">
        <v>118</v>
      </c>
      <c r="E68" s="12" t="s">
        <v>119</v>
      </c>
      <c r="F68" s="12" t="s">
        <v>107</v>
      </c>
    </row>
    <row r="69" spans="2:6">
      <c r="B69" s="12" t="s">
        <v>120</v>
      </c>
      <c r="C69" s="12">
        <v>42</v>
      </c>
      <c r="D69" s="12" t="s">
        <v>121</v>
      </c>
      <c r="E69" s="12" t="s">
        <v>122</v>
      </c>
      <c r="F69" s="12" t="s">
        <v>123</v>
      </c>
    </row>
    <row r="70" spans="2:6">
      <c r="B70" s="12" t="s">
        <v>120</v>
      </c>
      <c r="C70" s="12">
        <v>43</v>
      </c>
      <c r="D70" s="12" t="s">
        <v>124</v>
      </c>
      <c r="E70" s="12" t="s">
        <v>125</v>
      </c>
      <c r="F70" s="12" t="s">
        <v>123</v>
      </c>
    </row>
    <row r="71" spans="2:6">
      <c r="B71" s="12" t="s">
        <v>120</v>
      </c>
      <c r="C71" s="12">
        <v>44</v>
      </c>
      <c r="D71" s="12" t="s">
        <v>126</v>
      </c>
      <c r="E71" s="12" t="s">
        <v>127</v>
      </c>
      <c r="F71" s="12" t="s">
        <v>123</v>
      </c>
    </row>
    <row r="72" spans="2:6">
      <c r="B72" s="12" t="s">
        <v>120</v>
      </c>
      <c r="C72" s="12">
        <v>45</v>
      </c>
      <c r="D72" s="12" t="s">
        <v>128</v>
      </c>
      <c r="E72" s="12" t="s">
        <v>127</v>
      </c>
      <c r="F72" s="12" t="s">
        <v>123</v>
      </c>
    </row>
    <row r="73" spans="2:6">
      <c r="B73" s="12" t="s">
        <v>120</v>
      </c>
      <c r="C73" s="12">
        <v>46</v>
      </c>
      <c r="D73" s="12" t="s">
        <v>129</v>
      </c>
      <c r="E73" s="12" t="s">
        <v>127</v>
      </c>
      <c r="F73" s="12" t="s">
        <v>123</v>
      </c>
    </row>
    <row r="74" spans="2:6">
      <c r="B74" s="12" t="s">
        <v>120</v>
      </c>
      <c r="C74" s="12">
        <v>47</v>
      </c>
      <c r="D74" s="12" t="s">
        <v>130</v>
      </c>
      <c r="E74" s="12" t="s">
        <v>127</v>
      </c>
      <c r="F74" s="12" t="s">
        <v>123</v>
      </c>
    </row>
    <row r="75" spans="2:6">
      <c r="B75" s="12" t="s">
        <v>120</v>
      </c>
      <c r="C75" s="12">
        <v>48</v>
      </c>
      <c r="D75" s="12" t="s">
        <v>131</v>
      </c>
      <c r="E75" s="12" t="s">
        <v>132</v>
      </c>
      <c r="F75" s="12" t="s">
        <v>123</v>
      </c>
    </row>
    <row r="76" spans="2:6">
      <c r="B76" s="12" t="s">
        <v>120</v>
      </c>
      <c r="C76" s="12">
        <v>49</v>
      </c>
      <c r="D76" s="12" t="s">
        <v>133</v>
      </c>
      <c r="E76" s="12" t="s">
        <v>132</v>
      </c>
      <c r="F76" s="12" t="s">
        <v>123</v>
      </c>
    </row>
    <row r="77" spans="2:6">
      <c r="B77" s="12" t="s">
        <v>120</v>
      </c>
      <c r="C77" s="12">
        <v>50</v>
      </c>
      <c r="D77" s="12" t="s">
        <v>134</v>
      </c>
      <c r="E77" s="12" t="s">
        <v>135</v>
      </c>
      <c r="F77" s="12" t="s">
        <v>123</v>
      </c>
    </row>
    <row r="78" spans="2:6">
      <c r="B78" s="12" t="s">
        <v>136</v>
      </c>
      <c r="C78" s="12">
        <v>51</v>
      </c>
      <c r="D78" s="12" t="s">
        <v>137</v>
      </c>
      <c r="E78" s="12" t="s">
        <v>17</v>
      </c>
      <c r="F78" s="12" t="s">
        <v>138</v>
      </c>
    </row>
    <row r="79" spans="2:6">
      <c r="B79" s="12" t="s">
        <v>136</v>
      </c>
      <c r="C79" s="12">
        <v>52</v>
      </c>
      <c r="D79" s="12" t="s">
        <v>139</v>
      </c>
      <c r="E79" s="12" t="s">
        <v>140</v>
      </c>
      <c r="F79" s="12" t="s">
        <v>138</v>
      </c>
    </row>
    <row r="80" spans="2:6">
      <c r="B80" s="12" t="s">
        <v>136</v>
      </c>
      <c r="C80" s="12">
        <v>53</v>
      </c>
      <c r="D80" s="12" t="s">
        <v>141</v>
      </c>
      <c r="E80" s="12" t="s">
        <v>142</v>
      </c>
      <c r="F80" s="12" t="s">
        <v>138</v>
      </c>
    </row>
    <row r="81" spans="2:6">
      <c r="B81" s="12" t="s">
        <v>136</v>
      </c>
      <c r="C81" s="12">
        <v>54</v>
      </c>
      <c r="D81" s="12" t="s">
        <v>143</v>
      </c>
      <c r="E81" s="12" t="s">
        <v>144</v>
      </c>
      <c r="F81" s="12" t="s">
        <v>138</v>
      </c>
    </row>
    <row r="82" spans="2:6">
      <c r="B82" s="12" t="s">
        <v>136</v>
      </c>
      <c r="C82" s="12">
        <v>55</v>
      </c>
      <c r="D82" s="12" t="s">
        <v>145</v>
      </c>
      <c r="E82" s="12" t="s">
        <v>146</v>
      </c>
      <c r="F82" s="12" t="s">
        <v>138</v>
      </c>
    </row>
    <row r="83" spans="2:6">
      <c r="B83" s="12" t="s">
        <v>136</v>
      </c>
      <c r="C83" s="12">
        <v>56</v>
      </c>
      <c r="D83" s="12" t="s">
        <v>147</v>
      </c>
      <c r="E83" s="12" t="s">
        <v>148</v>
      </c>
      <c r="F83" s="12" t="s">
        <v>138</v>
      </c>
    </row>
    <row r="84" spans="2:6">
      <c r="B84" s="12" t="s">
        <v>136</v>
      </c>
      <c r="C84" s="12">
        <v>57</v>
      </c>
      <c r="D84" s="12" t="s">
        <v>149</v>
      </c>
      <c r="E84" s="12" t="s">
        <v>150</v>
      </c>
      <c r="F84" s="12" t="s">
        <v>138</v>
      </c>
    </row>
    <row r="85" spans="2:6">
      <c r="B85" s="12" t="s">
        <v>151</v>
      </c>
      <c r="C85" s="12">
        <v>58</v>
      </c>
      <c r="D85" s="12" t="s">
        <v>152</v>
      </c>
      <c r="E85" s="12" t="s">
        <v>153</v>
      </c>
      <c r="F85" s="12" t="s">
        <v>154</v>
      </c>
    </row>
    <row r="86" spans="2:6">
      <c r="B86" s="12" t="s">
        <v>151</v>
      </c>
      <c r="C86" s="12">
        <v>59</v>
      </c>
      <c r="D86" s="12" t="s">
        <v>155</v>
      </c>
      <c r="E86" s="12" t="s">
        <v>156</v>
      </c>
      <c r="F86" s="12" t="s">
        <v>154</v>
      </c>
    </row>
    <row r="87" spans="2:6">
      <c r="B87" s="12" t="s">
        <v>151</v>
      </c>
      <c r="C87" s="12">
        <v>60</v>
      </c>
      <c r="D87" s="12" t="s">
        <v>157</v>
      </c>
      <c r="E87" s="12" t="s">
        <v>158</v>
      </c>
      <c r="F87" s="12" t="s">
        <v>154</v>
      </c>
    </row>
    <row r="88" spans="2:6">
      <c r="B88" s="12" t="s">
        <v>151</v>
      </c>
      <c r="C88" s="12">
        <v>61</v>
      </c>
      <c r="D88" s="12" t="s">
        <v>159</v>
      </c>
      <c r="E88" s="12" t="s">
        <v>160</v>
      </c>
      <c r="F88" s="12" t="s">
        <v>154</v>
      </c>
    </row>
    <row r="89" spans="2:6">
      <c r="B89" s="12" t="s">
        <v>151</v>
      </c>
      <c r="C89" s="12">
        <v>62</v>
      </c>
      <c r="D89" s="12" t="s">
        <v>161</v>
      </c>
      <c r="E89" s="12" t="s">
        <v>162</v>
      </c>
      <c r="F89" s="12" t="s">
        <v>154</v>
      </c>
    </row>
    <row r="90" spans="2:6">
      <c r="B90" s="12" t="s">
        <v>151</v>
      </c>
      <c r="C90" s="12">
        <v>63</v>
      </c>
      <c r="D90" s="12" t="s">
        <v>163</v>
      </c>
      <c r="E90" s="12" t="s">
        <v>164</v>
      </c>
      <c r="F90" s="12" t="s">
        <v>154</v>
      </c>
    </row>
    <row r="91" spans="2:6">
      <c r="B91" s="12" t="s">
        <v>151</v>
      </c>
      <c r="C91" s="12">
        <v>64</v>
      </c>
      <c r="D91" s="12" t="s">
        <v>165</v>
      </c>
      <c r="E91" s="12" t="s">
        <v>166</v>
      </c>
      <c r="F91" s="12" t="s">
        <v>154</v>
      </c>
    </row>
    <row r="92" spans="2:6">
      <c r="B92" s="12" t="s">
        <v>167</v>
      </c>
      <c r="C92" s="12">
        <v>65</v>
      </c>
      <c r="D92" s="12" t="s">
        <v>168</v>
      </c>
      <c r="E92" s="12" t="s">
        <v>169</v>
      </c>
      <c r="F92" s="12" t="s">
        <v>170</v>
      </c>
    </row>
    <row r="93" spans="2:6">
      <c r="B93" s="12" t="s">
        <v>167</v>
      </c>
      <c r="C93" s="12">
        <v>66</v>
      </c>
      <c r="D93" s="12" t="s">
        <v>171</v>
      </c>
      <c r="E93" s="12" t="s">
        <v>172</v>
      </c>
      <c r="F93" s="12" t="s">
        <v>170</v>
      </c>
    </row>
    <row r="94" spans="2:6">
      <c r="B94" s="12" t="s">
        <v>173</v>
      </c>
      <c r="C94" s="12">
        <v>67</v>
      </c>
      <c r="D94" s="12" t="s">
        <v>174</v>
      </c>
      <c r="E94" s="12" t="s">
        <v>175</v>
      </c>
      <c r="F94" s="12" t="s">
        <v>176</v>
      </c>
    </row>
    <row r="95" spans="2:6">
      <c r="B95" s="12" t="s">
        <v>173</v>
      </c>
      <c r="C95" s="12">
        <v>68</v>
      </c>
      <c r="D95" s="12" t="s">
        <v>177</v>
      </c>
      <c r="E95" s="12" t="s">
        <v>178</v>
      </c>
      <c r="F95" s="12" t="s">
        <v>176</v>
      </c>
    </row>
    <row r="96" spans="2:6">
      <c r="B96" s="12" t="s">
        <v>173</v>
      </c>
      <c r="C96" s="12">
        <v>69</v>
      </c>
      <c r="D96" s="12" t="s">
        <v>179</v>
      </c>
      <c r="E96" s="12" t="s">
        <v>180</v>
      </c>
      <c r="F96" s="12" t="s">
        <v>176</v>
      </c>
    </row>
    <row r="97" spans="2:6">
      <c r="B97" s="12" t="s">
        <v>173</v>
      </c>
      <c r="C97" s="12">
        <v>70</v>
      </c>
      <c r="D97" s="12" t="s">
        <v>181</v>
      </c>
      <c r="E97" s="12" t="s">
        <v>182</v>
      </c>
      <c r="F97" s="12" t="s">
        <v>176</v>
      </c>
    </row>
    <row r="98" spans="2:6">
      <c r="B98" s="12" t="s">
        <v>173</v>
      </c>
      <c r="C98" s="12">
        <v>71</v>
      </c>
      <c r="D98" s="12" t="s">
        <v>183</v>
      </c>
      <c r="E98" s="12" t="s">
        <v>184</v>
      </c>
      <c r="F98" s="12" t="s">
        <v>176</v>
      </c>
    </row>
  </sheetData>
  <mergeCells count="10">
    <mergeCell ref="B21:F21"/>
    <mergeCell ref="B22:F22"/>
    <mergeCell ref="B24:F24"/>
    <mergeCell ref="B25:F25"/>
    <mergeCell ref="B12:F12"/>
    <mergeCell ref="B13:F13"/>
    <mergeCell ref="B16:F16"/>
    <mergeCell ref="B15:F15"/>
    <mergeCell ref="B18:F18"/>
    <mergeCell ref="B19:F19"/>
  </mergeCells>
  <hyperlinks>
    <hyperlink ref="D28" location="_1" display="2021 Sustainability scorecard" xr:uid="{17B032CE-5906-47F6-9E0C-F07CE59D8D18}"/>
    <hyperlink ref="B28" location="Overview!A1" display="Overview" xr:uid="{9257D65D-E4CD-483D-9A28-44E9DC6E00D3}"/>
    <hyperlink ref="B29:B33" location="Overview!A1" display="Overview" xr:uid="{A180B374-EBE5-4E3D-919F-26DDA242A8C9}"/>
    <hyperlink ref="B34" location="'CorpGov &amp; Business Ethics'!A1" display="Corporate Governance and Business Ethics" xr:uid="{3BB0EC03-554B-40BE-A256-4976831BB183}"/>
    <hyperlink ref="B35:B38" location="'CorpGov &amp; Business Ethics'!A1" display="Corporate Governance and Business Ethics" xr:uid="{496F1144-EA6A-4B12-B0E8-41263530D085}"/>
    <hyperlink ref="B39" location="'Resp. Procurement'!A1" display="Responsible Procurement" xr:uid="{6341B1EC-473C-4B9D-86CA-2FDA1662B99F}"/>
    <hyperlink ref="B40" location="'Security Practices'!A1" display="Security Practices" xr:uid="{83B5592E-A206-4497-9135-3CB0C1073DF1}"/>
    <hyperlink ref="B41" location="'Environmental Mgmt'!A1" display="Environmental Management" xr:uid="{E647EC78-C2B6-4B9C-AF74-51AD62DF9588}"/>
    <hyperlink ref="B42" location="'Water &amp; Effluents'!A1" display="Water and Effluents" xr:uid="{C80E218B-8A85-4585-AAD6-C2B9CFAE3A1E}"/>
    <hyperlink ref="B43:B45" location="'Water &amp; Effluents'!A1" display="Water and Effluents" xr:uid="{5F68EB4E-4622-4604-96C7-3DE334CAD311}"/>
    <hyperlink ref="B46" location="'Waste &amp; Materials'!A1" display="Waste and Materials" xr:uid="{65EDD206-C843-4FE5-8119-BF6C8B112C7D}"/>
    <hyperlink ref="B47:B53" location="'Waste &amp; Materials'!A1" display="Waste and Materials" xr:uid="{9D16A68E-883C-4F7E-B3F2-2A7DA9D10384}"/>
    <hyperlink ref="B54" location="Biodiversity!A1" display="Biodiversity" xr:uid="{51F7D6DB-5EF6-4288-9050-26A23EA4DE4A}"/>
    <hyperlink ref="B55:B58" location="Biodiversity!A1" display="Biodiversity" xr:uid="{C855AE28-40EE-41FC-98A6-81220FF39377}"/>
    <hyperlink ref="B59" location="'Climate Change'!A1" display="Climate Change" xr:uid="{CDBBD546-E309-4C98-982A-E97C12EA6FE9}"/>
    <hyperlink ref="B60:B61" location="'Climate Change'!A1" display="Climate Change" xr:uid="{91D5F68E-EABA-4AD1-8E0C-B5F064FD3513}"/>
    <hyperlink ref="B62" location="'Labour Rights'!A1" display="Labour Rights" xr:uid="{44AA1B84-BA07-4065-99D7-FF3A0035827A}"/>
    <hyperlink ref="B63:B68" location="'Labour Rights'!A1" display="Labour Rights" xr:uid="{7CCD686B-45C4-4A80-8D4E-6198D2EACC4A}"/>
    <hyperlink ref="B69" location="'Health &amp; Safety'!A1" display="Health and Safety" xr:uid="{7C84F6EF-4DB4-4266-A4CE-E0F687CFA4E3}"/>
    <hyperlink ref="B70:B77" location="'Health &amp; Safety'!A1" display="Health and Safety" xr:uid="{5D9F2FE1-C92E-44C6-B6A5-EEC12D2EFC47}"/>
    <hyperlink ref="B78" location="'Communities &amp; IPs'!A1" display="Rights of Communties and Indigenous Peoples" xr:uid="{60532A9F-39DD-47EC-B434-3391AF7C9105}"/>
    <hyperlink ref="B79:B84" location="'Communities &amp; IPs'!A1" display="Rights of Communties and Indigenous Peoples" xr:uid="{4B6AB53A-F71E-47C1-9D3C-433C769330AB}"/>
    <hyperlink ref="B85" location="Resettlement!A1" display="Land Acquisition and Resettlement" xr:uid="{32B49A26-6782-4FF8-8AD0-8D01C7B28EC5}"/>
    <hyperlink ref="B86:B91" location="Resettlement!A1" display="Land Acquisition and Resettlement" xr:uid="{4FC01476-CDDF-49D7-8198-ADE99AAF2696}"/>
    <hyperlink ref="B92" location="ASM!A1" display="Artisanal and Small-scale Mining" xr:uid="{76810389-A030-47E1-BC86-0646FC12295E}"/>
    <hyperlink ref="B93" location="ASM!A1" display="Artisanal and Small-scale Mining" xr:uid="{2E70DEA8-1E00-47E4-A778-F712FEF07049}"/>
    <hyperlink ref="B94" location="'Socio-econ. Contributions'!A1" display="Socio-Economic Contributions" xr:uid="{19BDEEE4-DA84-49B0-AC4A-BF339FFB7E35}"/>
    <hyperlink ref="B95:B98" location="'Socio-econ. Contributions'!A1" display="Socio-Economic Contributions" xr:uid="{9C69386F-095B-4486-8459-827F08B9796A}"/>
    <hyperlink ref="D29" location="_2._Entities_included_in_the_organization_s_sustainability_reporting" display="Entities included in the organization's sustainability reporting" xr:uid="{67C41B31-8FBE-405E-A37D-AAA94A431063}"/>
    <hyperlink ref="D30" location="_3._2021_Data" display="2021 Data" xr:uid="{E977329D-020D-46FC-9CD2-6F1330D5C68C}"/>
    <hyperlink ref="D31" location="_4._Memberships_and_associations" display="Memberships and associations" xr:uid="{DC62287E-5526-497B-B87B-9F699F2173EF}"/>
    <hyperlink ref="D32" location="_5._Approach_to_stakeholder_engagement" display="Approach to stakeholder engagement" xr:uid="{D9928DA2-8379-48EE-80EB-E47C6732CF57}"/>
    <hyperlink ref="D33" location="_6._List_of_material_topics" display="List of material topics" xr:uid="{4276D1CD-4FE0-47EC-B577-C90A3521F754}"/>
    <hyperlink ref="D34" location="_7._Governance_structure_and_composition__diversity_of_governance_bodies" display="Governance structure and composition, diversity of governance bodies" xr:uid="{40AAC270-C53D-448B-A47C-2A91A204EA97}"/>
    <hyperlink ref="D35" location="_8._Mechanisms_for_seeking_advise_and_raising_concerns" display="Mechanisms for seeking advise and raising concerns" xr:uid="{458FBEFB-26CA-469F-A86F-856AE2FDA61E}"/>
    <hyperlink ref="D36" location="_9._Operations_assessed_for_risk_related_to_corruption" display="Operations assessed for risk related to corruption" xr:uid="{D3A5C38A-E7AD-48E1-B522-68B867D57A84}"/>
    <hyperlink ref="D37" location="_10._Communications_and_training_on_anti_corruption_policies_and_procedures" display="Communications and training on anti-corruption policies and procedures" xr:uid="{FE23A95C-A5EE-407C-8B84-E263A199E6D3}"/>
    <hyperlink ref="D38" location="_11._Confirmed_incidents_of_corruption_and_actions_taken" display="Confirmed incidents of corruption and actions taken" xr:uid="{23B5A485-DD9A-4347-B98E-B003A46F55F6}"/>
    <hyperlink ref="D39" location="_12._New_suppliers_that_were_screened_using_environmental___social_criteria" display="New suppliers that were screened using environmental and social criteria" xr:uid="{CBA91631-E1C7-4356-ADF7-A0E95DE06334}"/>
    <hyperlink ref="D40" location="_13._Security_personnel_trained_in_human_rights_policies_or_procedures" display="Security personnel trained in human rights policies or procedures" xr:uid="{9A624B65-D8BB-4D18-A2A9-76CAC1751C7D}"/>
    <hyperlink ref="D41" location="_14._Description_of_environmental_management_policies_and_practices__EMPs__for_active_sites" display="Description of environmental management policies and practices (EMPs) for active sites" xr:uid="{33F90B98-E213-4CBA-9F37-2D5AEBAF5414}"/>
    <hyperlink ref="D42" location="_15._Potential_risks_to_water_sources" display="Potential risks to water sources" xr:uid="{9F0059CE-9FBE-4D8A-84D7-BD19AC5F2529}"/>
    <hyperlink ref="D43" location="_16._Water_withdrawal_by_source__ML" display="Water withdrawal by source (ML)" xr:uid="{A27A85D8-A133-4709-86C8-050F2840C541}"/>
    <hyperlink ref="D44" location="_17._Water_discharge__ML" display="Water discharge (ML)" xr:uid="{E706109A-AA44-4EAA-8F5D-8C650E353446}"/>
    <hyperlink ref="D45" location="_18._Water_consumption__ML" display="Water consumption (ML) " xr:uid="{9D29D1DC-D10E-4CB7-8216-25C26687B7B8}"/>
    <hyperlink ref="D46" location="_19._Cyanide_Intensity" display="Cyanide intensity" xr:uid="{A757E37F-8D4F-4D85-BCCA-10BC693E1EC3}"/>
    <hyperlink ref="D47" location="_20._Total_amounts_of_overburden__rock__tailings__and_sludges_and_their_associated_risks" display="Total amount of overburden, rock, tailings, and sludges and their associated risks" xr:uid="{3F3AFDCB-CCC6-43AB-94CC-0FCF35CFFD68}"/>
    <hyperlink ref="D48" location="_21._Waste_generated" display="Waste generated" xr:uid="{F5377D6C-78AD-4C8E-8E55-DDC7EAC97534}"/>
    <hyperlink ref="D49" location="_22._Waste_diverted_from_disposal" display="Waste diverted from disposal" xr:uid="{0FBB9527-392F-4E44-85A3-86034F60F410}"/>
    <hyperlink ref="D50" location="_23._Waste_directed_to_disposal" display="Waste directed to disposal" xr:uid="{79001B13-DE7C-40A6-A20B-8EA5B16169C1}"/>
    <hyperlink ref="D51" location="_24._Total_weight_of_non_mineral_waste_generated__in_metric_tons__T" display="Total weight of non-mineral waste generated (T)" xr:uid="{884C9CDB-07BA-4645-B0C9-E67B124F1225}"/>
    <hyperlink ref="D52" location="_25._Tailings_storage_facility_inventory_table" display="Tailings storage facility inventory table" xr:uid="{2EC270B6-C1C0-46AF-9AFF-85BB4E1DC722}"/>
    <hyperlink ref="D53" location="_26._Number_of_tailings_impoundments__broken_down_by_MSHA_hazard_potential" display="Number of tailings impoundments, broken down by MSHA hazard potential" xr:uid="{9CCACC36-193E-4366-91A3-3D932A06AFE6}"/>
    <hyperlink ref="D54" location="_27._Significant_impacts_of_activities__products_and_services_on_biodiversity" display="Significant impacts of activities, products and services on biodiversity" xr:uid="{AF9F6DCF-0C1D-41E3-AC14-28BDEE53FFDE}"/>
    <hyperlink ref="D55" location="_28._Habitats_protected_or_restored" display="Habitats protected or restored" xr:uid="{531A077D-DC89-4FD9-BCA2-E79E694E9025}"/>
    <hyperlink ref="D56" location="_29._Amount_of_land_owned_or_leased__and_managed_for_production_activities_or_extractive_use__disturbed_or_rehabilitated" display="Amount of land owned or leased, and managed for production activities or extractive use, disturbed or rehabilitated" xr:uid="{4C21A81A-87BC-4990-AC0E-FE07ACA368B1}"/>
    <hyperlink ref="D57" location="_30._Number_and_percentage_of_total_sites_identified_as_requiring_biodiversity_management_plans_according_to_stated_criteria__and_number__and_percentage__of_those_sites_with_plans_in_place" display="Number and percentage of total sites identified as requiring biodiversity management plans according to stated criteria, and number (and percentage) of those sites with plans in place" xr:uid="{CC52154A-F190-4F3E-A3FA-7CE0A4C377F9}"/>
    <hyperlink ref="D58" location="_31._Number_and_percentage_of_operations_with_closure_plans" display="Number and percentage of operations with closure plans" xr:uid="{F7D39DB6-7CCA-4940-AB53-54EC11810720}"/>
    <hyperlink ref="D59" location="_32._Energy_consumption_within_the_organization" display="Energy consumption within the organization" xr:uid="{07D8FEB4-65F7-4728-97D6-F8B5D08AAFF8}"/>
    <hyperlink ref="D60" location="_33._Energy_intensity" display="Energy intensity" xr:uid="{79EC740E-6D4D-4FC9-88F8-E7CF7BF8A621}"/>
    <hyperlink ref="D61" location="_34._GHG_emissions_intensity__Scopes_1_2____metric_tons_Coe_per_tonne_of_ore_processed" display="GHG emissions intensity (Scopes 1&amp;2) - metric tons Coe per tonne of ore processed" xr:uid="{D568E915-F273-4B23-9EED-147C50D2A2EA}"/>
    <hyperlink ref="D62" location="_35._Employees" display="Employees" xr:uid="{02656375-BA2A-4DC9-9C1B-90CEE17C9EE0}"/>
    <hyperlink ref="D63" location="_36._Workers_who_are_not_employees__Contractors_workforce" display="Workers who are not employees (contractors)" xr:uid="{616E7C5E-38B2-4307-BA81-94CA2FF7CD5C}"/>
    <hyperlink ref="D64" location="_37._New_employee_hires_and_employee_turnover" display="New employee hires and employee turnover" xr:uid="{9C24241E-930F-4ACD-952F-5F1FA77FF67C}"/>
    <hyperlink ref="D65" location="_38._Average_hours_of_training_per_year_per_employee_by_gender" display="Average hours of training per year per employee by gender" xr:uid="{18FCF726-2487-4E90-9D6E-205AD7B92F10}"/>
    <hyperlink ref="D66" location="_39._Percentage_of_employees_per_employee_category_in_diversity_categories" display="Percentage of employees per employee category in diversity categories" xr:uid="{D4B6F7EE-F3B7-4E46-ABDA-3ED8DB73FA7B}"/>
    <hyperlink ref="D67" location="_40._Ratio_of_basic_salary_and_remuneration_of_women_to_men" display="Ratio of basic salary and remuneration of women to men" xr:uid="{AA4E440E-F0E1-4480-9BC4-55E69E40AD78}"/>
    <hyperlink ref="D68" location="_41._Collective_bargaining_agreements" display="Collective bargaining agreements" xr:uid="{122FA582-EE65-4770-BB61-1BE8632CE5D7}"/>
    <hyperlink ref="D69" location="_42._Worker_training_on_occupational_health_and_safety" display="Worker training on occupational health and safety" xr:uid="{02F872D8-264F-4368-94C3-608CD195DF9A}"/>
    <hyperlink ref="D70" location="_43._Workers_covered_by_an_occupational_health_and_safety_management_system" display="Workers covered by an occupational health and safety management system" xr:uid="{27DEFAF0-691A-49D5-9317-D104D3801082}"/>
    <hyperlink ref="D71" location="_44._Employee_data_on_work_related_injuries" display="Employee data on work-related injuries" xr:uid="{E2FFA7C7-58EB-4C75-9D72-80F462C40C4B}"/>
    <hyperlink ref="D72" location="_45._Contractor_data_on_work_related_injuries" display="Contractor data on work-related injuries" xr:uid="{29417119-18A4-4C20-9EC9-027E10B2D7D5}"/>
    <hyperlink ref="D73" location="_46._Recordable_work_related_injury_by_type_of_incident" display="Recordable work-related injuries by type of incident" xr:uid="{9B761015-E887-4AC6-BA68-86AA6C288BFA}"/>
    <hyperlink ref="D74" location="_47._Other_relevant_data" display="Other relevant data" xr:uid="{8A2096A7-43B3-4642-AC62-096F3656BD2D}"/>
    <hyperlink ref="D75" location="_48._Employee_data_on_work_related_ill_health" display="Employee data on work-related ill-health" xr:uid="{8ABB9E76-6B30-4BB0-A03B-E46F9E838EDE}"/>
    <hyperlink ref="D76" location="_49._Contractor_data_on_work_related_ill_health" display="Contractor data on work-related ill-health" xr:uid="{604E63BC-EB30-4D15-9C84-E838FFF55FB8}"/>
    <hyperlink ref="D77" location="_50._Death_rate_due_to_road_traffic_injuries" display="Death rate due to road traffic injuries" xr:uid="{C4778F2D-B31E-49F3-9993-D2FABB3AE8BE}"/>
    <hyperlink ref="D78" location="_51._Public_consultations_held" display="Public consultations held" xr:uid="{A0EACDBA-2F1F-42BE-8AD1-E18878325FE7}"/>
    <hyperlink ref="D79" location="_52._Operations_with_local_community_engagement__impact_assessments__and_development_programs" display="Operations with local community engagement, impact assessments, and development programs" xr:uid="{53F2C368-53E8-4A18-B590-37F93E3C4A3F}"/>
    <hyperlink ref="D80" location="_53._Operations_with_significant_actual_and_potential_negative_impacts_on_local_communities" display="Operations with significant actual and potential negative impacts on local communities" xr:uid="{CBF6BDAF-F424-49D4-BF9A-412142BA67AB}"/>
    <hyperlink ref="D81" location="_54._Total_number_of_operations_taking_place_in_or_adjacent_to_Indigenous_Peoples__territories__and_number_and_percentage_of_operations_or_sites_where_there_are_formal_agreements_with_Indigenous_Peoples__communities" display="Total number of operations taking place in or adjacent to Indigenous Peoples' territories, and number and percentage of operations or sites where there are formal agreements with Indigenous Peoples' communities" xr:uid="{B026A1B5-A7A1-4A98-AE3F-A2FA1A1C3092}"/>
    <hyperlink ref="D82" location="_55._Number_and_description_of_significant_disputes_1__relating_to_land_use__customary_rights_of_local_communities_and_Indigenous_Peoples" display="Number and description of significant disputes relating to land use, customary rights of local communities and Indigenous Peoples" xr:uid="{F37B0848-68A4-49C3-9386-2B3A37E87B6A}"/>
    <hyperlink ref="D83" location="_56._Extent_to_which_grievance_mechanisms_were_used_to_resolve_disputes_relating_to_land_use__customary_rights_of_local_communities_and_Indigenous_Peoples__and_the_outcomes" display="Extent to which grievance mechanisms were used to resolve disputes relating to land use, customary rights of local communities and Indigenous Peoples, and the outcomes" xr:uid="{D96B24D7-9786-4829-919A-54C927EB00A7}"/>
    <hyperlink ref="D84" location="_57._Proportion_of_population_who_have_experienced_a_dispute_in_the_past_two_years_and_who_accessed_a_formal_or_informal_dispute_resolution_mechanism__by_type_of_mechanism" display="Proportion of population who have experienced a dispute in the past two years and who accessed a formal or informal dispute resolution mechanism, by type of mechanism" xr:uid="{6BC175A9-5B27-4D58-81D0-664CF1ACDEE6}"/>
    <hyperlink ref="D85" location="_58._Sites_where_resettlement_took_place__the_number_of_household_resettled_in_each__and_how_their_livelihoods_were_affected_in_the_process" display="Sites  where resettlement took place, the number of household resettled in each, and how their livelihoods were affected in the process" xr:uid="{61953074-EBC5-4956-8A44-E59F066B4B11}"/>
    <hyperlink ref="D86" location="_59._Proportion_of_population_living_in_households_with_access_to_basic_services" display="Proportion of population living in households with access to basic services" xr:uid="{B99A80EF-2DA5-405C-A5D3-E27BD68D6AAD}"/>
    <hyperlink ref="D87" location="_60._Proportion_of_total_adult_population_with_secure_tenure_rights_to_land__with_legally_recognized_documentation_and_who_perceive_their_rights_to_land_as_secure__by_sex_and_by_type_of_tenure" display="Proportion of total adult population with secure tenure rights to land, with legally recognized documentation and who perceive their rights to land as secure, by sex and by type of tenure" xr:uid="{03012E17-4501-44EC-91B4-0BAF9F9E2705}"/>
    <hyperlink ref="D88" location="_61._Proportion_of_urban_population_living_in_slums__informal_settlements_or_inadequate_housing" display="Proportion of urban population living in slums, informal settlements or inadequate housing" xr:uid="{F0D8069D-BE89-4EA4-BA00-776794355184}"/>
    <hyperlink ref="D89" location="_62._Proportion_of_urban_population_using_safely_managed_drinking_water_services" display="Proportion of urban population using safely managed drinking water services" xr:uid="{C0573D1A-9A81-43ED-9B69-8F32A543D191}"/>
    <hyperlink ref="D90" location="_63._Proportion_of_population_using_safely_managed_sanitation_services" display="Proportion of population using safely managed sanitation services" xr:uid="{26B20618-F292-44C3-A24B-64656AAB1798}"/>
    <hyperlink ref="D91" location="_64._Proportion_of_population_who_believe_decision_making_is_inclusive_and_responsive" display="Proportion of population who believe decision-making is inclusive and responsive" xr:uid="{9FA7D4E7-D3E9-4BB9-BEC5-ABB939646B76}"/>
    <hyperlink ref="D92" location="_65._Number__and_percentage__of_company_operating_sites_where_ASM_takes_place_on__or_adjacent_to__the_site__the_associated_risks_and_the_actions_taken_to_manage_and_mitigate_these_risks" display="Number (and percentage) of company operating sites where ASM takes place on, or adjacent to, the site; the associated risks and the actions taken to manage and mitigate these risks" xr:uid="{3BB33A48-C0F4-46EC-AE24-530953EAED06}"/>
    <hyperlink ref="D93" location="_66._Proportion_of_bodies_of_water_with_good_ambient_water_quality" display="Proportion of bodies of water with good ambient water quality" xr:uid="{083CFEAC-98DD-47B7-9DEA-F91BA8CBC382}"/>
    <hyperlink ref="D94" location="_67._Direct_economic_value_generated_and_distributed___Million_USD" display="Direct economic value generated and distributed" xr:uid="{544175DA-0555-4F14-B866-893895656E70}"/>
    <hyperlink ref="D95" location="_68._Ratios_of_standard_entry_level_wage_by_gender_compared_to_local_minimum_wage" display="Ratios of standard entry level wage by gender compared to local minimum wage" xr:uid="{9FA71374-A793-4BBF-8F45-A0B1E66CE55A}"/>
    <hyperlink ref="D96" location="_69._Infrastructure_investments_and_services_supported" display="Infrastructure investments and services supported" xr:uid="{92A6B81E-2919-4A47-9023-B9CCD992AA94}"/>
    <hyperlink ref="D97" location="Table_70._Significant_indirect_economic_impacts" display="Significant indirect economic impacts " xr:uid="{8B1DA1D5-E13B-4E13-98FB-BD5E4ECB0EE1}"/>
    <hyperlink ref="D98" location="Table_71._Proportion_of_spending_on_local_suppliers" display="Proportion of spending on local suppliers" xr:uid="{F69E2AB1-83E9-4A53-8441-24030484973E}"/>
  </hyperlinks>
  <pageMargins left="0.7" right="0.7" top="0.75" bottom="0.75" header="0.3" footer="0.3"/>
  <pageSetup scale="34"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353A-619E-4CE9-8F4D-FD6CAD8AE215}">
  <dimension ref="A1:L152"/>
  <sheetViews>
    <sheetView showGridLines="0" zoomScale="70" zoomScaleNormal="70" workbookViewId="0">
      <selection activeCell="A146" sqref="A1:L152"/>
    </sheetView>
  </sheetViews>
  <sheetFormatPr baseColWidth="10" defaultColWidth="11.42578125" defaultRowHeight="14.25"/>
  <cols>
    <col min="1" max="1" width="31.42578125" style="171" customWidth="1"/>
    <col min="2" max="2" width="47.42578125" style="171" customWidth="1"/>
    <col min="3" max="3" width="32.28515625" style="171" customWidth="1"/>
    <col min="4" max="4" width="39" style="171" customWidth="1"/>
    <col min="5" max="5" width="32.85546875" style="171" bestFit="1" customWidth="1"/>
    <col min="6" max="6" width="27" style="171" customWidth="1"/>
    <col min="7" max="8" width="11.42578125" style="171"/>
    <col min="9" max="9" width="21.7109375" style="171" customWidth="1"/>
    <col min="10" max="10" width="17.42578125" style="171" bestFit="1" customWidth="1"/>
    <col min="11" max="11" width="15.140625" style="171" bestFit="1" customWidth="1"/>
    <col min="12" max="12" width="25.7109375" style="171" bestFit="1" customWidth="1"/>
    <col min="13" max="16384" width="11.42578125" style="171"/>
  </cols>
  <sheetData>
    <row r="1" spans="1:12" s="169" customFormat="1" ht="30" customHeight="1" thickBot="1">
      <c r="A1" s="426" t="s">
        <v>763</v>
      </c>
      <c r="B1" s="427"/>
      <c r="C1" s="427"/>
      <c r="D1" s="427"/>
      <c r="E1" s="427"/>
      <c r="F1" s="427"/>
      <c r="G1" s="427"/>
      <c r="H1" s="427"/>
      <c r="I1" s="427"/>
      <c r="J1" s="427"/>
      <c r="K1" s="427"/>
      <c r="L1" s="427"/>
    </row>
    <row r="2" spans="1:12" ht="15">
      <c r="A2" s="170" t="s">
        <v>764</v>
      </c>
    </row>
    <row r="4" spans="1:12">
      <c r="A4" s="428" t="s">
        <v>765</v>
      </c>
      <c r="B4" s="428"/>
      <c r="C4" s="428"/>
      <c r="D4" s="429"/>
      <c r="E4" s="429"/>
      <c r="F4" s="429"/>
      <c r="G4" s="429"/>
    </row>
    <row r="5" spans="1:12" s="172" customFormat="1">
      <c r="A5" s="222" t="s">
        <v>766</v>
      </c>
      <c r="B5" s="222" t="s">
        <v>767</v>
      </c>
      <c r="C5" s="430" t="s">
        <v>768</v>
      </c>
      <c r="D5" s="430"/>
      <c r="E5" s="430" t="s">
        <v>769</v>
      </c>
      <c r="F5" s="430"/>
      <c r="G5" s="430" t="s">
        <v>416</v>
      </c>
      <c r="H5" s="430"/>
    </row>
    <row r="6" spans="1:12">
      <c r="A6" s="431" t="s">
        <v>770</v>
      </c>
      <c r="B6" s="431"/>
      <c r="C6" s="431"/>
      <c r="D6" s="431"/>
      <c r="E6" s="431"/>
      <c r="F6" s="431"/>
      <c r="G6" s="431"/>
      <c r="H6" s="431"/>
    </row>
    <row r="7" spans="1:12" s="175" customFormat="1">
      <c r="A7" s="173">
        <v>181</v>
      </c>
      <c r="B7" s="173">
        <v>1012</v>
      </c>
      <c r="C7" s="424">
        <v>0</v>
      </c>
      <c r="D7" s="424"/>
      <c r="E7" s="424">
        <v>0</v>
      </c>
      <c r="F7" s="424"/>
      <c r="G7" s="425">
        <v>1193</v>
      </c>
      <c r="H7" s="425"/>
      <c r="I7" s="174"/>
    </row>
    <row r="8" spans="1:12">
      <c r="A8" s="431" t="s">
        <v>771</v>
      </c>
      <c r="B8" s="431"/>
      <c r="C8" s="431"/>
      <c r="D8" s="431"/>
      <c r="E8" s="431"/>
      <c r="F8" s="431"/>
      <c r="G8" s="431"/>
      <c r="H8" s="431"/>
    </row>
    <row r="9" spans="1:12" s="175" customFormat="1">
      <c r="A9" s="173">
        <v>172</v>
      </c>
      <c r="B9" s="173">
        <v>973</v>
      </c>
      <c r="C9" s="424">
        <v>0</v>
      </c>
      <c r="D9" s="424"/>
      <c r="E9" s="424">
        <v>0</v>
      </c>
      <c r="F9" s="424"/>
      <c r="G9" s="425">
        <v>1145</v>
      </c>
      <c r="H9" s="425"/>
    </row>
    <row r="10" spans="1:12">
      <c r="A10" s="431" t="s">
        <v>772</v>
      </c>
      <c r="B10" s="431"/>
      <c r="C10" s="431"/>
      <c r="D10" s="431"/>
      <c r="E10" s="431"/>
      <c r="F10" s="431"/>
      <c r="G10" s="431"/>
      <c r="H10" s="431"/>
    </row>
    <row r="11" spans="1:12" s="175" customFormat="1">
      <c r="A11" s="173">
        <f>A7-A9</f>
        <v>9</v>
      </c>
      <c r="B11" s="173">
        <f t="shared" ref="B11:G11" si="0">B7-B9</f>
        <v>39</v>
      </c>
      <c r="C11" s="444">
        <f t="shared" si="0"/>
        <v>0</v>
      </c>
      <c r="D11" s="445"/>
      <c r="E11" s="444">
        <f t="shared" si="0"/>
        <v>0</v>
      </c>
      <c r="F11" s="445"/>
      <c r="G11" s="446">
        <f t="shared" si="0"/>
        <v>48</v>
      </c>
      <c r="H11" s="447"/>
    </row>
    <row r="12" spans="1:12">
      <c r="A12" s="431" t="s">
        <v>773</v>
      </c>
      <c r="B12" s="431"/>
      <c r="C12" s="431"/>
      <c r="D12" s="431"/>
      <c r="E12" s="431"/>
      <c r="F12" s="431"/>
      <c r="G12" s="431"/>
      <c r="H12" s="431"/>
    </row>
    <row r="13" spans="1:12" s="175" customFormat="1">
      <c r="A13" s="173">
        <v>0</v>
      </c>
      <c r="B13" s="173">
        <v>0</v>
      </c>
      <c r="C13" s="424">
        <v>0</v>
      </c>
      <c r="D13" s="424"/>
      <c r="E13" s="424">
        <v>0</v>
      </c>
      <c r="F13" s="424"/>
      <c r="G13" s="425">
        <v>0</v>
      </c>
      <c r="H13" s="425"/>
    </row>
    <row r="14" spans="1:12">
      <c r="A14" s="431" t="s">
        <v>774</v>
      </c>
      <c r="B14" s="431"/>
      <c r="C14" s="431"/>
      <c r="D14" s="431"/>
      <c r="E14" s="431"/>
      <c r="F14" s="431"/>
      <c r="G14" s="431"/>
      <c r="H14" s="431"/>
    </row>
    <row r="15" spans="1:12" s="175" customFormat="1">
      <c r="A15" s="173">
        <v>181</v>
      </c>
      <c r="B15" s="173">
        <v>1012</v>
      </c>
      <c r="C15" s="424">
        <v>0</v>
      </c>
      <c r="D15" s="424"/>
      <c r="E15" s="424">
        <v>0</v>
      </c>
      <c r="F15" s="424"/>
      <c r="G15" s="425">
        <v>1193</v>
      </c>
      <c r="H15" s="425"/>
    </row>
    <row r="16" spans="1:12">
      <c r="A16" s="431" t="s">
        <v>775</v>
      </c>
      <c r="B16" s="431"/>
      <c r="C16" s="431"/>
      <c r="D16" s="431"/>
      <c r="E16" s="431"/>
      <c r="F16" s="431"/>
      <c r="G16" s="431"/>
      <c r="H16" s="431"/>
    </row>
    <row r="17" spans="1:11" s="175" customFormat="1">
      <c r="A17" s="173">
        <v>0</v>
      </c>
      <c r="B17" s="173">
        <v>0</v>
      </c>
      <c r="C17" s="424">
        <v>0</v>
      </c>
      <c r="D17" s="424"/>
      <c r="E17" s="424">
        <v>0</v>
      </c>
      <c r="F17" s="424"/>
      <c r="G17" s="425">
        <v>0</v>
      </c>
      <c r="H17" s="425"/>
      <c r="J17" s="174"/>
    </row>
    <row r="18" spans="1:11" ht="27" customHeight="1">
      <c r="A18" s="422" t="s">
        <v>776</v>
      </c>
      <c r="B18" s="423"/>
      <c r="C18" s="423"/>
      <c r="D18" s="423"/>
      <c r="E18" s="423"/>
      <c r="F18" s="423"/>
      <c r="G18" s="423"/>
      <c r="H18" s="423"/>
    </row>
    <row r="20" spans="1:11">
      <c r="A20" s="428" t="s">
        <v>777</v>
      </c>
      <c r="B20" s="428"/>
    </row>
    <row r="21" spans="1:11" s="172" customFormat="1">
      <c r="A21" s="223" t="s">
        <v>778</v>
      </c>
      <c r="B21" s="223" t="s">
        <v>779</v>
      </c>
      <c r="C21" s="222" t="s">
        <v>780</v>
      </c>
      <c r="D21" s="222" t="s">
        <v>781</v>
      </c>
      <c r="E21" s="222" t="s">
        <v>416</v>
      </c>
    </row>
    <row r="22" spans="1:11">
      <c r="A22" s="431" t="s">
        <v>770</v>
      </c>
      <c r="B22" s="431"/>
      <c r="C22" s="431"/>
      <c r="D22" s="431"/>
      <c r="E22" s="431"/>
    </row>
    <row r="23" spans="1:11" s="175" customFormat="1">
      <c r="A23" s="173">
        <v>930</v>
      </c>
      <c r="B23" s="173">
        <v>217</v>
      </c>
      <c r="C23" s="173">
        <v>1147</v>
      </c>
      <c r="D23" s="173">
        <v>46</v>
      </c>
      <c r="E23" s="176">
        <v>1193</v>
      </c>
      <c r="F23" s="174"/>
      <c r="G23" s="174"/>
      <c r="K23" s="174"/>
    </row>
    <row r="24" spans="1:11">
      <c r="A24" s="431" t="s">
        <v>771</v>
      </c>
      <c r="B24" s="431"/>
      <c r="C24" s="431"/>
      <c r="D24" s="431"/>
      <c r="E24" s="431"/>
      <c r="G24" s="177"/>
      <c r="K24" s="174"/>
    </row>
    <row r="25" spans="1:11" s="175" customFormat="1">
      <c r="A25" s="173">
        <v>897</v>
      </c>
      <c r="B25" s="173">
        <v>203</v>
      </c>
      <c r="C25" s="173">
        <v>1100</v>
      </c>
      <c r="D25" s="173">
        <v>45</v>
      </c>
      <c r="E25" s="176">
        <v>1145</v>
      </c>
      <c r="G25" s="174"/>
      <c r="K25" s="174"/>
    </row>
    <row r="26" spans="1:11">
      <c r="A26" s="431" t="s">
        <v>771</v>
      </c>
      <c r="B26" s="431"/>
      <c r="C26" s="431"/>
      <c r="D26" s="431"/>
      <c r="E26" s="431"/>
      <c r="G26" s="177"/>
    </row>
    <row r="27" spans="1:11" s="175" customFormat="1">
      <c r="A27" s="173">
        <f>A23-A25</f>
        <v>33</v>
      </c>
      <c r="B27" s="173">
        <f t="shared" ref="B27:E27" si="1">B23-B25</f>
        <v>14</v>
      </c>
      <c r="C27" s="173">
        <f t="shared" si="1"/>
        <v>47</v>
      </c>
      <c r="D27" s="173">
        <f t="shared" si="1"/>
        <v>1</v>
      </c>
      <c r="E27" s="176">
        <f t="shared" si="1"/>
        <v>48</v>
      </c>
      <c r="G27" s="174"/>
    </row>
    <row r="28" spans="1:11">
      <c r="A28" s="431" t="s">
        <v>773</v>
      </c>
      <c r="B28" s="431"/>
      <c r="C28" s="431"/>
      <c r="D28" s="431"/>
      <c r="E28" s="431"/>
    </row>
    <row r="29" spans="1:11" s="175" customFormat="1">
      <c r="A29" s="173">
        <v>0</v>
      </c>
      <c r="B29" s="173">
        <v>0</v>
      </c>
      <c r="C29" s="173">
        <v>0</v>
      </c>
      <c r="D29" s="173">
        <v>0</v>
      </c>
      <c r="E29" s="176">
        <v>0</v>
      </c>
    </row>
    <row r="30" spans="1:11">
      <c r="A30" s="431" t="s">
        <v>774</v>
      </c>
      <c r="B30" s="431"/>
      <c r="C30" s="431"/>
      <c r="D30" s="431"/>
      <c r="E30" s="431"/>
    </row>
    <row r="31" spans="1:11" s="175" customFormat="1">
      <c r="A31" s="173">
        <v>930</v>
      </c>
      <c r="B31" s="173">
        <v>217</v>
      </c>
      <c r="C31" s="173">
        <v>1147</v>
      </c>
      <c r="D31" s="173">
        <v>46</v>
      </c>
      <c r="E31" s="176">
        <v>1193</v>
      </c>
    </row>
    <row r="32" spans="1:11">
      <c r="A32" s="431" t="s">
        <v>775</v>
      </c>
      <c r="B32" s="431"/>
      <c r="C32" s="431"/>
      <c r="D32" s="431"/>
      <c r="E32" s="431"/>
    </row>
    <row r="33" spans="1:12" s="175" customFormat="1">
      <c r="A33" s="173">
        <v>0</v>
      </c>
      <c r="B33" s="173">
        <v>0</v>
      </c>
      <c r="C33" s="173">
        <v>0</v>
      </c>
      <c r="D33" s="173">
        <v>0</v>
      </c>
      <c r="E33" s="176">
        <v>0</v>
      </c>
    </row>
    <row r="34" spans="1:12" ht="51.75" customHeight="1">
      <c r="A34" s="422" t="s">
        <v>782</v>
      </c>
      <c r="B34" s="423"/>
      <c r="C34" s="423"/>
      <c r="D34" s="423"/>
      <c r="E34" s="423"/>
    </row>
    <row r="36" spans="1:12">
      <c r="D36" s="177"/>
    </row>
    <row r="37" spans="1:12" s="169" customFormat="1" ht="30" customHeight="1" thickBot="1">
      <c r="A37" s="426" t="s">
        <v>783</v>
      </c>
      <c r="B37" s="427"/>
      <c r="C37" s="427"/>
      <c r="D37" s="427"/>
      <c r="E37" s="427"/>
      <c r="F37" s="427"/>
      <c r="G37" s="427"/>
      <c r="H37" s="427"/>
      <c r="I37" s="427"/>
      <c r="J37" s="427"/>
      <c r="K37" s="427"/>
      <c r="L37" s="427"/>
    </row>
    <row r="38" spans="1:12" ht="15">
      <c r="A38" s="170" t="s">
        <v>784</v>
      </c>
    </row>
    <row r="40" spans="1:12">
      <c r="A40" s="428" t="s">
        <v>785</v>
      </c>
      <c r="B40" s="428"/>
      <c r="C40" s="428"/>
      <c r="E40" s="428" t="s">
        <v>786</v>
      </c>
      <c r="F40" s="428"/>
      <c r="G40" s="428"/>
    </row>
    <row r="41" spans="1:12" s="178" customFormat="1" ht="12">
      <c r="A41" s="223" t="s">
        <v>787</v>
      </c>
      <c r="B41" s="223" t="s">
        <v>788</v>
      </c>
      <c r="C41" s="223" t="s">
        <v>416</v>
      </c>
      <c r="E41" s="222" t="s">
        <v>789</v>
      </c>
      <c r="F41" s="222" t="s">
        <v>790</v>
      </c>
      <c r="G41" s="222" t="s">
        <v>416</v>
      </c>
    </row>
    <row r="42" spans="1:12" s="179" customFormat="1" ht="12">
      <c r="A42" s="173">
        <v>91</v>
      </c>
      <c r="B42" s="173">
        <v>2118</v>
      </c>
      <c r="C42" s="176">
        <v>2209</v>
      </c>
      <c r="E42" s="173">
        <v>2077</v>
      </c>
      <c r="F42" s="173">
        <v>132</v>
      </c>
      <c r="G42" s="176">
        <v>2209</v>
      </c>
    </row>
    <row r="43" spans="1:12" s="180" customFormat="1" ht="12">
      <c r="A43" s="422" t="s">
        <v>791</v>
      </c>
      <c r="B43" s="423"/>
      <c r="C43" s="423"/>
      <c r="D43" s="423"/>
      <c r="E43" s="423"/>
    </row>
    <row r="45" spans="1:12" s="169" customFormat="1" ht="30" customHeight="1" thickBot="1">
      <c r="A45" s="426" t="s">
        <v>792</v>
      </c>
      <c r="B45" s="427"/>
      <c r="C45" s="427"/>
      <c r="D45" s="427"/>
      <c r="E45" s="427"/>
      <c r="F45" s="427"/>
      <c r="G45" s="427"/>
      <c r="H45" s="427"/>
      <c r="I45" s="427"/>
      <c r="J45" s="427"/>
      <c r="K45" s="427"/>
      <c r="L45" s="427"/>
    </row>
    <row r="46" spans="1:12" ht="15">
      <c r="A46" s="170" t="s">
        <v>793</v>
      </c>
    </row>
    <row r="48" spans="1:12" s="180" customFormat="1" ht="12">
      <c r="A48" s="448" t="s">
        <v>794</v>
      </c>
      <c r="B48" s="450">
        <v>2020</v>
      </c>
      <c r="C48" s="450"/>
      <c r="D48" s="450">
        <v>2021</v>
      </c>
      <c r="E48" s="450"/>
    </row>
    <row r="49" spans="1:5" s="178" customFormat="1" ht="12">
      <c r="A49" s="449"/>
      <c r="B49" s="224" t="s">
        <v>795</v>
      </c>
      <c r="C49" s="224" t="s">
        <v>796</v>
      </c>
      <c r="D49" s="224" t="s">
        <v>795</v>
      </c>
      <c r="E49" s="224" t="s">
        <v>796</v>
      </c>
    </row>
    <row r="50" spans="1:5" s="180" customFormat="1" ht="12">
      <c r="A50" s="432" t="s">
        <v>797</v>
      </c>
      <c r="B50" s="432"/>
      <c r="C50" s="432"/>
      <c r="D50" s="432"/>
      <c r="E50" s="432"/>
    </row>
    <row r="51" spans="1:5" s="180" customFormat="1" ht="12">
      <c r="A51" s="181" t="s">
        <v>244</v>
      </c>
      <c r="B51" s="182">
        <v>21</v>
      </c>
      <c r="C51" s="183">
        <v>1.9599999999999999E-2</v>
      </c>
      <c r="D51" s="182">
        <v>21</v>
      </c>
      <c r="E51" s="184">
        <f>D51/1132</f>
        <v>1.8551236749116608E-2</v>
      </c>
    </row>
    <row r="52" spans="1:5" s="180" customFormat="1" ht="12">
      <c r="A52" s="181" t="s">
        <v>254</v>
      </c>
      <c r="B52" s="182">
        <v>26</v>
      </c>
      <c r="C52" s="183">
        <v>2.4299999999999999E-2</v>
      </c>
      <c r="D52" s="182">
        <v>24</v>
      </c>
      <c r="E52" s="184">
        <f t="shared" ref="E52:E56" si="2">D52/1132</f>
        <v>2.1201413427561839E-2</v>
      </c>
    </row>
    <row r="53" spans="1:5" s="180" customFormat="1" ht="12">
      <c r="A53" s="181" t="s">
        <v>259</v>
      </c>
      <c r="B53" s="182">
        <v>16</v>
      </c>
      <c r="C53" s="183">
        <v>1.49E-2</v>
      </c>
      <c r="D53" s="182">
        <v>10</v>
      </c>
      <c r="E53" s="184">
        <f t="shared" si="2"/>
        <v>8.8339222614840993E-3</v>
      </c>
    </row>
    <row r="54" spans="1:5" s="180" customFormat="1" ht="12">
      <c r="A54" s="181" t="s">
        <v>262</v>
      </c>
      <c r="B54" s="182">
        <v>0</v>
      </c>
      <c r="C54" s="183">
        <v>0</v>
      </c>
      <c r="D54" s="182">
        <v>18</v>
      </c>
      <c r="E54" s="184">
        <f t="shared" si="2"/>
        <v>1.5901060070671377E-2</v>
      </c>
    </row>
    <row r="55" spans="1:5" s="180" customFormat="1" ht="12.75" thickBot="1">
      <c r="A55" s="185" t="s">
        <v>798</v>
      </c>
      <c r="B55" s="186">
        <v>0</v>
      </c>
      <c r="C55" s="187">
        <v>0</v>
      </c>
      <c r="D55" s="186">
        <v>24</v>
      </c>
      <c r="E55" s="188">
        <f t="shared" si="2"/>
        <v>2.1201413427561839E-2</v>
      </c>
    </row>
    <row r="56" spans="1:5" s="193" customFormat="1" ht="12.75" thickTop="1">
      <c r="A56" s="189" t="s">
        <v>416</v>
      </c>
      <c r="B56" s="190">
        <v>63</v>
      </c>
      <c r="C56" s="191">
        <v>5.8799999999999998E-2</v>
      </c>
      <c r="D56" s="190">
        <f>SUM(D51:D55)</f>
        <v>97</v>
      </c>
      <c r="E56" s="192">
        <f t="shared" si="2"/>
        <v>8.5689045936395758E-2</v>
      </c>
    </row>
    <row r="57" spans="1:5" s="180" customFormat="1" ht="12">
      <c r="A57" s="432" t="s">
        <v>799</v>
      </c>
      <c r="B57" s="432"/>
      <c r="C57" s="432"/>
      <c r="D57" s="432"/>
      <c r="E57" s="432"/>
    </row>
    <row r="58" spans="1:5" s="180" customFormat="1" ht="12">
      <c r="A58" s="194" t="s">
        <v>800</v>
      </c>
      <c r="B58" s="182">
        <v>14</v>
      </c>
      <c r="C58" s="183">
        <v>1.3100000000000001E-2</v>
      </c>
      <c r="D58" s="182">
        <v>26</v>
      </c>
      <c r="E58" s="184">
        <f>D58/1132</f>
        <v>2.2968197879858657E-2</v>
      </c>
    </row>
    <row r="59" spans="1:5" s="180" customFormat="1" ht="12">
      <c r="A59" s="194" t="s">
        <v>801</v>
      </c>
      <c r="B59" s="182">
        <v>38</v>
      </c>
      <c r="C59" s="183">
        <v>3.5499999999999997E-2</v>
      </c>
      <c r="D59" s="182">
        <v>68</v>
      </c>
      <c r="E59" s="184">
        <f t="shared" ref="E59:E61" si="3">D59/1132</f>
        <v>6.0070671378091869E-2</v>
      </c>
    </row>
    <row r="60" spans="1:5" s="180" customFormat="1" ht="12.75" thickBot="1">
      <c r="A60" s="195" t="s">
        <v>802</v>
      </c>
      <c r="B60" s="186">
        <v>11</v>
      </c>
      <c r="C60" s="196">
        <v>1.03E-2</v>
      </c>
      <c r="D60" s="186">
        <v>3</v>
      </c>
      <c r="E60" s="188">
        <f t="shared" si="3"/>
        <v>2.6501766784452299E-3</v>
      </c>
    </row>
    <row r="61" spans="1:5" s="180" customFormat="1" ht="12.75" thickTop="1">
      <c r="A61" s="189" t="s">
        <v>416</v>
      </c>
      <c r="B61" s="190">
        <v>63</v>
      </c>
      <c r="C61" s="197">
        <v>5.8799999999999998E-2</v>
      </c>
      <c r="D61" s="198">
        <f>SUM(D58:D60)</f>
        <v>97</v>
      </c>
      <c r="E61" s="192">
        <f t="shared" si="3"/>
        <v>8.5689045936395758E-2</v>
      </c>
    </row>
    <row r="62" spans="1:5" s="180" customFormat="1" ht="12">
      <c r="A62" s="432" t="s">
        <v>803</v>
      </c>
      <c r="B62" s="432"/>
      <c r="C62" s="432"/>
      <c r="D62" s="432"/>
      <c r="E62" s="432"/>
    </row>
    <row r="63" spans="1:5" s="180" customFormat="1" ht="12">
      <c r="A63" s="194" t="s">
        <v>787</v>
      </c>
      <c r="B63" s="182">
        <v>53</v>
      </c>
      <c r="C63" s="183">
        <v>4.9500000000000002E-2</v>
      </c>
      <c r="D63" s="182">
        <v>21</v>
      </c>
      <c r="E63" s="184">
        <f>D63/1132</f>
        <v>1.8551236749116608E-2</v>
      </c>
    </row>
    <row r="64" spans="1:5" s="180" customFormat="1" ht="12.75" thickBot="1">
      <c r="A64" s="195" t="s">
        <v>788</v>
      </c>
      <c r="B64" s="186">
        <v>10</v>
      </c>
      <c r="C64" s="196">
        <v>9.2999999999999992E-3</v>
      </c>
      <c r="D64" s="199">
        <v>76</v>
      </c>
      <c r="E64" s="188">
        <f t="shared" ref="E64:E65" si="4">D64/1132</f>
        <v>6.7137809187279157E-2</v>
      </c>
    </row>
    <row r="65" spans="1:12" s="193" customFormat="1" ht="12.75" thickTop="1">
      <c r="A65" s="189" t="s">
        <v>416</v>
      </c>
      <c r="B65" s="190">
        <v>63</v>
      </c>
      <c r="C65" s="197">
        <v>5.8799999999999998E-2</v>
      </c>
      <c r="D65" s="198">
        <f>SUM(D63:D64)</f>
        <v>97</v>
      </c>
      <c r="E65" s="192">
        <f t="shared" si="4"/>
        <v>8.5689045936395758E-2</v>
      </c>
    </row>
    <row r="66" spans="1:12" s="180" customFormat="1" ht="12">
      <c r="A66" s="432" t="s">
        <v>804</v>
      </c>
      <c r="B66" s="432"/>
      <c r="C66" s="432"/>
      <c r="D66" s="432"/>
      <c r="E66" s="432"/>
    </row>
    <row r="67" spans="1:12" s="180" customFormat="1" ht="12">
      <c r="A67" s="194" t="s">
        <v>805</v>
      </c>
      <c r="B67" s="182" t="s">
        <v>806</v>
      </c>
      <c r="C67" s="182" t="s">
        <v>806</v>
      </c>
      <c r="D67" s="182">
        <v>31</v>
      </c>
      <c r="E67" s="184">
        <f>D67/1132</f>
        <v>2.7385159010600707E-2</v>
      </c>
    </row>
    <row r="68" spans="1:12" s="180" customFormat="1" ht="12">
      <c r="A68" s="194" t="s">
        <v>807</v>
      </c>
      <c r="B68" s="182" t="s">
        <v>806</v>
      </c>
      <c r="C68" s="182" t="s">
        <v>806</v>
      </c>
      <c r="D68" s="182">
        <v>44</v>
      </c>
      <c r="E68" s="184">
        <f t="shared" ref="E68:E70" si="5">D68/1132</f>
        <v>3.8869257950530034E-2</v>
      </c>
    </row>
    <row r="69" spans="1:12" s="180" customFormat="1" ht="12.75" thickBot="1">
      <c r="A69" s="195" t="s">
        <v>790</v>
      </c>
      <c r="B69" s="186" t="s">
        <v>806</v>
      </c>
      <c r="C69" s="186" t="s">
        <v>806</v>
      </c>
      <c r="D69" s="186">
        <v>22</v>
      </c>
      <c r="E69" s="188">
        <f t="shared" si="5"/>
        <v>1.9434628975265017E-2</v>
      </c>
    </row>
    <row r="70" spans="1:12" s="193" customFormat="1" ht="12.75" thickTop="1">
      <c r="A70" s="189" t="s">
        <v>416</v>
      </c>
      <c r="B70" s="190" t="s">
        <v>806</v>
      </c>
      <c r="C70" s="190" t="s">
        <v>806</v>
      </c>
      <c r="D70" s="198">
        <f>SUM(D67:D69)</f>
        <v>97</v>
      </c>
      <c r="E70" s="192">
        <f t="shared" si="5"/>
        <v>8.5689045936395758E-2</v>
      </c>
    </row>
    <row r="71" spans="1:12" s="180" customFormat="1" ht="48" customHeight="1">
      <c r="A71" s="422" t="s">
        <v>808</v>
      </c>
      <c r="B71" s="423"/>
      <c r="C71" s="423"/>
      <c r="D71" s="423"/>
      <c r="E71" s="423"/>
    </row>
    <row r="72" spans="1:12">
      <c r="A72" s="200"/>
      <c r="B72" s="201"/>
      <c r="C72" s="201"/>
      <c r="D72" s="201"/>
      <c r="E72" s="201"/>
    </row>
    <row r="74" spans="1:12">
      <c r="A74" s="433" t="s">
        <v>809</v>
      </c>
      <c r="B74" s="408" t="s">
        <v>810</v>
      </c>
      <c r="C74" s="408"/>
      <c r="D74" s="408"/>
      <c r="E74" s="408"/>
      <c r="F74" s="408"/>
      <c r="G74" s="408"/>
      <c r="H74" s="408">
        <v>2021</v>
      </c>
      <c r="I74" s="408"/>
      <c r="J74" s="408"/>
      <c r="K74" s="408"/>
      <c r="L74" s="408"/>
    </row>
    <row r="75" spans="1:12" s="172" customFormat="1">
      <c r="A75" s="433"/>
      <c r="B75" s="127" t="s">
        <v>811</v>
      </c>
      <c r="C75" s="127" t="s">
        <v>812</v>
      </c>
      <c r="D75" s="222" t="s">
        <v>813</v>
      </c>
      <c r="E75" s="222" t="s">
        <v>812</v>
      </c>
      <c r="F75" s="222" t="s">
        <v>814</v>
      </c>
      <c r="G75" s="434" t="s">
        <v>811</v>
      </c>
      <c r="H75" s="434"/>
      <c r="I75" s="127" t="s">
        <v>812</v>
      </c>
      <c r="J75" s="222" t="s">
        <v>813</v>
      </c>
      <c r="K75" s="222" t="s">
        <v>812</v>
      </c>
      <c r="L75" s="222" t="s">
        <v>814</v>
      </c>
    </row>
    <row r="76" spans="1:12">
      <c r="A76" s="181" t="s">
        <v>800</v>
      </c>
      <c r="B76" s="182">
        <v>4</v>
      </c>
      <c r="C76" s="183">
        <v>3.7729916679767328E-3</v>
      </c>
      <c r="D76" s="173">
        <v>4</v>
      </c>
      <c r="E76" s="183">
        <v>3.7729916679767328E-3</v>
      </c>
      <c r="F76" s="202">
        <v>7.5459833359534656E-3</v>
      </c>
      <c r="G76" s="435">
        <v>3</v>
      </c>
      <c r="H76" s="436">
        <v>2.6501766784452299E-3</v>
      </c>
      <c r="I76" s="183">
        <v>2.6501766784452299E-3</v>
      </c>
      <c r="J76" s="173">
        <v>2</v>
      </c>
      <c r="K76" s="183">
        <v>1.7667844522968198E-3</v>
      </c>
      <c r="L76" s="202">
        <v>4.4169611307420496E-3</v>
      </c>
    </row>
    <row r="77" spans="1:12">
      <c r="A77" s="181" t="s">
        <v>801</v>
      </c>
      <c r="B77" s="203">
        <v>16</v>
      </c>
      <c r="C77" s="183">
        <v>1.4148718754912748E-2</v>
      </c>
      <c r="D77" s="204">
        <v>3</v>
      </c>
      <c r="E77" s="183">
        <v>3.7729916679767328E-3</v>
      </c>
      <c r="F77" s="202">
        <v>1.7921710422889481E-2</v>
      </c>
      <c r="G77" s="435">
        <v>20</v>
      </c>
      <c r="H77" s="436">
        <v>1.7667844522968199E-2</v>
      </c>
      <c r="I77" s="183">
        <v>1.7667844522968199E-2</v>
      </c>
      <c r="J77" s="173">
        <v>25</v>
      </c>
      <c r="K77" s="183">
        <v>2.2084805653710248E-2</v>
      </c>
      <c r="L77" s="202">
        <v>3.975265017667845E-2</v>
      </c>
    </row>
    <row r="78" spans="1:12">
      <c r="A78" s="181" t="s">
        <v>815</v>
      </c>
      <c r="B78" s="182">
        <v>3</v>
      </c>
      <c r="C78" s="183">
        <v>2.8297437509825496E-3</v>
      </c>
      <c r="D78" s="173">
        <v>4</v>
      </c>
      <c r="E78" s="183">
        <v>3.7729916679767328E-3</v>
      </c>
      <c r="F78" s="202">
        <v>6.6027354189592824E-3</v>
      </c>
      <c r="G78" s="435">
        <v>16</v>
      </c>
      <c r="H78" s="436">
        <v>1.4134275618374558E-2</v>
      </c>
      <c r="I78" s="183">
        <v>1.4134275618374558E-2</v>
      </c>
      <c r="J78" s="173">
        <v>8</v>
      </c>
      <c r="K78" s="183">
        <v>7.0671378091872791E-3</v>
      </c>
      <c r="L78" s="202">
        <v>2.1201413427561835E-2</v>
      </c>
    </row>
    <row r="79" spans="1:12" ht="29.25" customHeight="1">
      <c r="A79" s="442" t="s">
        <v>816</v>
      </c>
      <c r="B79" s="442"/>
      <c r="C79" s="442"/>
      <c r="D79" s="442"/>
      <c r="E79" s="442"/>
      <c r="F79" s="442"/>
    </row>
    <row r="82" spans="1:12">
      <c r="A82" s="433" t="s">
        <v>817</v>
      </c>
      <c r="B82" s="408">
        <v>2020</v>
      </c>
      <c r="C82" s="408"/>
      <c r="D82" s="408"/>
      <c r="E82" s="408"/>
      <c r="F82" s="408"/>
      <c r="G82" s="408"/>
      <c r="H82" s="408">
        <v>2021</v>
      </c>
      <c r="I82" s="408"/>
      <c r="J82" s="408"/>
      <c r="K82" s="408"/>
      <c r="L82" s="408"/>
    </row>
    <row r="83" spans="1:12" s="172" customFormat="1" ht="15" customHeight="1">
      <c r="A83" s="433"/>
      <c r="B83" s="127" t="s">
        <v>811</v>
      </c>
      <c r="C83" s="127" t="s">
        <v>812</v>
      </c>
      <c r="D83" s="222" t="s">
        <v>813</v>
      </c>
      <c r="E83" s="222" t="s">
        <v>812</v>
      </c>
      <c r="F83" s="222" t="s">
        <v>814</v>
      </c>
      <c r="G83" s="434" t="s">
        <v>811</v>
      </c>
      <c r="H83" s="434"/>
      <c r="I83" s="127" t="s">
        <v>812</v>
      </c>
      <c r="J83" s="222" t="s">
        <v>813</v>
      </c>
      <c r="K83" s="222" t="s">
        <v>812</v>
      </c>
      <c r="L83" s="222" t="s">
        <v>814</v>
      </c>
    </row>
    <row r="84" spans="1:12">
      <c r="A84" s="181" t="s">
        <v>788</v>
      </c>
      <c r="B84" s="182">
        <v>16</v>
      </c>
      <c r="C84" s="183">
        <v>1.4148718754912748E-2</v>
      </c>
      <c r="D84" s="173">
        <v>8</v>
      </c>
      <c r="E84" s="205">
        <v>8.4892312529476488E-3</v>
      </c>
      <c r="F84" s="202">
        <v>2.2637950007860397E-2</v>
      </c>
      <c r="G84" s="424">
        <v>34</v>
      </c>
      <c r="H84" s="441">
        <v>3.0035335689045935E-2</v>
      </c>
      <c r="I84" s="183">
        <v>3.0035335689045935E-2</v>
      </c>
      <c r="J84" s="173">
        <v>32</v>
      </c>
      <c r="K84" s="183">
        <v>2.8268551236749116E-2</v>
      </c>
      <c r="L84" s="202">
        <v>5.8303886925795051E-2</v>
      </c>
    </row>
    <row r="85" spans="1:12">
      <c r="A85" s="181" t="s">
        <v>787</v>
      </c>
      <c r="B85" s="203">
        <v>7</v>
      </c>
      <c r="C85" s="183">
        <v>6.6027354189592824E-3</v>
      </c>
      <c r="D85" s="204">
        <v>3</v>
      </c>
      <c r="E85" s="205">
        <v>2.8297437509825496E-3</v>
      </c>
      <c r="F85" s="202">
        <v>9.432479169941832E-3</v>
      </c>
      <c r="G85" s="424">
        <v>5</v>
      </c>
      <c r="H85" s="441">
        <v>4.4169611307420496E-3</v>
      </c>
      <c r="I85" s="183">
        <v>4.4169611307420496E-3</v>
      </c>
      <c r="J85" s="173">
        <v>3</v>
      </c>
      <c r="K85" s="183">
        <v>2.6501766784452299E-3</v>
      </c>
      <c r="L85" s="202">
        <v>7.0671378091872791E-3</v>
      </c>
    </row>
    <row r="86" spans="1:12" ht="29.25" customHeight="1">
      <c r="A86" s="442" t="s">
        <v>818</v>
      </c>
      <c r="B86" s="442"/>
      <c r="C86" s="442"/>
      <c r="D86" s="442"/>
      <c r="E86" s="442"/>
      <c r="F86" s="442"/>
    </row>
    <row r="89" spans="1:12">
      <c r="A89" s="433" t="s">
        <v>819</v>
      </c>
      <c r="B89" s="408">
        <v>2021</v>
      </c>
      <c r="C89" s="408"/>
      <c r="D89" s="408"/>
      <c r="E89" s="408"/>
      <c r="F89" s="408"/>
    </row>
    <row r="90" spans="1:12" s="172" customFormat="1">
      <c r="A90" s="433"/>
      <c r="B90" s="127" t="s">
        <v>811</v>
      </c>
      <c r="C90" s="127" t="s">
        <v>812</v>
      </c>
      <c r="D90" s="222" t="s">
        <v>813</v>
      </c>
      <c r="E90" s="222" t="s">
        <v>812</v>
      </c>
      <c r="F90" s="222" t="s">
        <v>814</v>
      </c>
    </row>
    <row r="91" spans="1:12">
      <c r="A91" s="181" t="s">
        <v>820</v>
      </c>
      <c r="B91" s="182">
        <v>21</v>
      </c>
      <c r="C91" s="183">
        <f>B91/1132</f>
        <v>1.8551236749116608E-2</v>
      </c>
      <c r="D91" s="173">
        <v>20</v>
      </c>
      <c r="E91" s="183">
        <f>D91/1132</f>
        <v>1.7667844522968199E-2</v>
      </c>
      <c r="F91" s="202">
        <f>SUM(C91+E91)</f>
        <v>3.6219081272084806E-2</v>
      </c>
    </row>
    <row r="92" spans="1:12">
      <c r="A92" s="181" t="s">
        <v>821</v>
      </c>
      <c r="B92" s="182">
        <v>11</v>
      </c>
      <c r="C92" s="183">
        <f t="shared" ref="C92:C93" si="6">B92/1132</f>
        <v>9.7173144876325085E-3</v>
      </c>
      <c r="D92" s="173">
        <v>11</v>
      </c>
      <c r="E92" s="183">
        <f t="shared" ref="E92:E93" si="7">D92/1132</f>
        <v>9.7173144876325085E-3</v>
      </c>
      <c r="F92" s="202">
        <f t="shared" ref="F92:F93" si="8">SUM(C92+E92)</f>
        <v>1.9434628975265017E-2</v>
      </c>
    </row>
    <row r="93" spans="1:12">
      <c r="A93" s="181" t="s">
        <v>822</v>
      </c>
      <c r="B93" s="182">
        <v>7</v>
      </c>
      <c r="C93" s="183">
        <f t="shared" si="6"/>
        <v>6.183745583038869E-3</v>
      </c>
      <c r="D93" s="173">
        <v>4</v>
      </c>
      <c r="E93" s="183">
        <f t="shared" si="7"/>
        <v>3.5335689045936395E-3</v>
      </c>
      <c r="F93" s="202">
        <f t="shared" si="8"/>
        <v>9.7173144876325085E-3</v>
      </c>
    </row>
    <row r="94" spans="1:12" ht="47.25" customHeight="1">
      <c r="A94" s="442" t="s">
        <v>823</v>
      </c>
      <c r="B94" s="442"/>
      <c r="C94" s="442"/>
      <c r="D94" s="442"/>
      <c r="E94" s="442"/>
      <c r="F94" s="442"/>
    </row>
    <row r="95" spans="1:12">
      <c r="A95" s="437"/>
      <c r="B95" s="437"/>
      <c r="C95" s="437"/>
      <c r="D95" s="437"/>
      <c r="E95" s="437"/>
      <c r="F95" s="437"/>
    </row>
    <row r="97" spans="1:12" s="206" customFormat="1" ht="15">
      <c r="A97" s="127" t="s">
        <v>824</v>
      </c>
      <c r="B97" s="127">
        <v>2020</v>
      </c>
      <c r="C97" s="127">
        <v>2021</v>
      </c>
    </row>
    <row r="98" spans="1:12">
      <c r="A98" s="207" t="s">
        <v>825</v>
      </c>
      <c r="B98" s="205">
        <v>2.075145417387203E-2</v>
      </c>
      <c r="C98" s="205">
        <v>3.4452296819787988E-2</v>
      </c>
    </row>
    <row r="99" spans="1:12">
      <c r="A99" s="207" t="s">
        <v>826</v>
      </c>
      <c r="B99" s="205">
        <v>1.1318975003930198E-2</v>
      </c>
      <c r="C99" s="205">
        <v>3.0918727915194344E-2</v>
      </c>
    </row>
    <row r="100" spans="1:12" ht="15" thickBot="1">
      <c r="A100" s="208" t="s">
        <v>416</v>
      </c>
      <c r="B100" s="209">
        <v>3.2070429177802229E-2</v>
      </c>
      <c r="C100" s="209">
        <v>6.5371024734982325E-2</v>
      </c>
    </row>
    <row r="101" spans="1:12" ht="29.25" customHeight="1" thickTop="1">
      <c r="A101" s="443" t="s">
        <v>818</v>
      </c>
      <c r="B101" s="443"/>
      <c r="C101" s="443"/>
      <c r="D101" s="210"/>
      <c r="E101" s="210"/>
      <c r="F101" s="210"/>
    </row>
    <row r="104" spans="1:12" s="169" customFormat="1" ht="30" customHeight="1" thickBot="1">
      <c r="A104" s="426" t="s">
        <v>827</v>
      </c>
      <c r="B104" s="427"/>
      <c r="C104" s="427"/>
      <c r="D104" s="427"/>
      <c r="E104" s="427"/>
      <c r="F104" s="427"/>
      <c r="G104" s="427"/>
      <c r="H104" s="427"/>
      <c r="I104" s="427"/>
      <c r="J104" s="427"/>
      <c r="K104" s="427"/>
      <c r="L104" s="427"/>
    </row>
    <row r="105" spans="1:12" ht="15">
      <c r="A105" s="170" t="s">
        <v>828</v>
      </c>
    </row>
    <row r="107" spans="1:12">
      <c r="A107" s="225" t="s">
        <v>829</v>
      </c>
      <c r="B107" s="225" t="s">
        <v>648</v>
      </c>
      <c r="C107" s="225" t="s">
        <v>830</v>
      </c>
      <c r="D107" s="225" t="s">
        <v>831</v>
      </c>
    </row>
    <row r="108" spans="1:12">
      <c r="A108" s="211" t="s">
        <v>788</v>
      </c>
      <c r="B108" s="204">
        <v>1012</v>
      </c>
      <c r="C108" s="204">
        <v>4190</v>
      </c>
      <c r="D108" s="212">
        <f>C108/B108</f>
        <v>4.1403162055335967</v>
      </c>
    </row>
    <row r="109" spans="1:12">
      <c r="A109" s="211" t="s">
        <v>787</v>
      </c>
      <c r="B109" s="173">
        <v>181</v>
      </c>
      <c r="C109" s="204">
        <v>1136</v>
      </c>
      <c r="D109" s="212">
        <f>C109/B109</f>
        <v>6.2762430939226519</v>
      </c>
    </row>
    <row r="110" spans="1:12" ht="15" thickBot="1">
      <c r="A110" s="213" t="s">
        <v>416</v>
      </c>
      <c r="B110" s="214">
        <f>SUM(B108:B109)</f>
        <v>1193</v>
      </c>
      <c r="C110" s="214">
        <f>SUM(C108:C109)</f>
        <v>5326</v>
      </c>
      <c r="D110" s="215">
        <f>C110/B110</f>
        <v>4.4643755238893545</v>
      </c>
    </row>
    <row r="111" spans="1:12" ht="15" thickTop="1"/>
    <row r="113" spans="1:12" s="169" customFormat="1" ht="30" customHeight="1" thickBot="1">
      <c r="A113" s="426" t="s">
        <v>832</v>
      </c>
      <c r="B113" s="427"/>
      <c r="C113" s="427"/>
      <c r="D113" s="427"/>
      <c r="E113" s="427"/>
      <c r="F113" s="427"/>
      <c r="G113" s="427"/>
      <c r="H113" s="427"/>
      <c r="I113" s="427"/>
      <c r="J113" s="427"/>
      <c r="K113" s="427"/>
      <c r="L113" s="427"/>
    </row>
    <row r="114" spans="1:12" ht="15">
      <c r="A114" s="170" t="s">
        <v>833</v>
      </c>
    </row>
    <row r="116" spans="1:12">
      <c r="A116" s="438" t="s">
        <v>834</v>
      </c>
      <c r="B116" s="438"/>
      <c r="C116" s="438"/>
      <c r="D116" s="216"/>
    </row>
    <row r="117" spans="1:12" s="172" customFormat="1">
      <c r="A117" s="127" t="s">
        <v>835</v>
      </c>
      <c r="B117" s="127" t="s">
        <v>788</v>
      </c>
      <c r="C117" s="127" t="s">
        <v>787</v>
      </c>
      <c r="D117" s="217"/>
    </row>
    <row r="118" spans="1:12">
      <c r="A118" s="181" t="s">
        <v>836</v>
      </c>
      <c r="B118" s="218">
        <v>1</v>
      </c>
      <c r="C118" s="218">
        <v>0</v>
      </c>
      <c r="D118" s="219"/>
    </row>
    <row r="119" spans="1:12">
      <c r="A119" s="181" t="s">
        <v>837</v>
      </c>
      <c r="B119" s="218">
        <v>1</v>
      </c>
      <c r="C119" s="218">
        <v>0</v>
      </c>
      <c r="D119" s="219"/>
    </row>
    <row r="120" spans="1:12">
      <c r="A120" s="181" t="s">
        <v>838</v>
      </c>
      <c r="B120" s="218">
        <v>0.71</v>
      </c>
      <c r="C120" s="218">
        <v>0.28999999999999998</v>
      </c>
      <c r="D120" s="219"/>
    </row>
    <row r="121" spans="1:12">
      <c r="A121" s="181" t="s">
        <v>839</v>
      </c>
      <c r="B121" s="218">
        <v>0.91</v>
      </c>
      <c r="C121" s="218">
        <v>0.09</v>
      </c>
      <c r="D121" s="219"/>
    </row>
    <row r="122" spans="1:12">
      <c r="A122" s="181" t="s">
        <v>840</v>
      </c>
      <c r="B122" s="218">
        <v>0.84</v>
      </c>
      <c r="C122" s="218">
        <v>0.16</v>
      </c>
      <c r="D122" s="219"/>
    </row>
    <row r="125" spans="1:12">
      <c r="A125" s="439" t="s">
        <v>841</v>
      </c>
      <c r="B125" s="439"/>
      <c r="C125" s="439"/>
      <c r="D125" s="439"/>
    </row>
    <row r="126" spans="1:12">
      <c r="A126" s="126" t="s">
        <v>835</v>
      </c>
      <c r="B126" s="126" t="s">
        <v>842</v>
      </c>
      <c r="C126" s="126" t="s">
        <v>843</v>
      </c>
      <c r="D126" s="126" t="s">
        <v>844</v>
      </c>
    </row>
    <row r="127" spans="1:12">
      <c r="A127" s="181" t="s">
        <v>836</v>
      </c>
      <c r="B127" s="218">
        <v>0</v>
      </c>
      <c r="C127" s="218">
        <v>0.33</v>
      </c>
      <c r="D127" s="218">
        <v>0.67</v>
      </c>
    </row>
    <row r="128" spans="1:12">
      <c r="A128" s="181" t="s">
        <v>837</v>
      </c>
      <c r="B128" s="218">
        <v>0</v>
      </c>
      <c r="C128" s="218">
        <v>0.55000000000000004</v>
      </c>
      <c r="D128" s="218">
        <v>0.45</v>
      </c>
    </row>
    <row r="129" spans="1:12">
      <c r="A129" s="181" t="s">
        <v>838</v>
      </c>
      <c r="B129" s="218">
        <v>0</v>
      </c>
      <c r="C129" s="218">
        <v>0.68</v>
      </c>
      <c r="D129" s="218">
        <v>0.32</v>
      </c>
    </row>
    <row r="130" spans="1:12">
      <c r="A130" s="181" t="s">
        <v>845</v>
      </c>
      <c r="B130" s="218">
        <v>0.01</v>
      </c>
      <c r="C130" s="218">
        <v>0.71</v>
      </c>
      <c r="D130" s="218">
        <v>0.28000000000000003</v>
      </c>
    </row>
    <row r="131" spans="1:12">
      <c r="A131" s="181" t="s">
        <v>840</v>
      </c>
      <c r="B131" s="218">
        <v>0.1</v>
      </c>
      <c r="C131" s="218">
        <v>0.77</v>
      </c>
      <c r="D131" s="218">
        <v>0.13</v>
      </c>
    </row>
    <row r="134" spans="1:12" s="169" customFormat="1" ht="30" customHeight="1" thickBot="1">
      <c r="A134" s="426" t="s">
        <v>846</v>
      </c>
      <c r="B134" s="427"/>
      <c r="C134" s="427"/>
      <c r="D134" s="427"/>
      <c r="E134" s="427"/>
      <c r="F134" s="427"/>
      <c r="G134" s="427"/>
      <c r="H134" s="427"/>
      <c r="I134" s="427"/>
      <c r="J134" s="427"/>
      <c r="K134" s="427"/>
      <c r="L134" s="427"/>
    </row>
    <row r="135" spans="1:12" ht="15">
      <c r="A135" s="170" t="s">
        <v>847</v>
      </c>
    </row>
    <row r="137" spans="1:12" s="220" customFormat="1" ht="15">
      <c r="A137" s="126" t="s">
        <v>848</v>
      </c>
      <c r="B137" s="126" t="s">
        <v>849</v>
      </c>
    </row>
    <row r="138" spans="1:12">
      <c r="A138" s="181" t="s">
        <v>850</v>
      </c>
      <c r="B138" s="182" t="s">
        <v>851</v>
      </c>
    </row>
    <row r="139" spans="1:12">
      <c r="A139" s="181" t="s">
        <v>852</v>
      </c>
      <c r="B139" s="182" t="s">
        <v>851</v>
      </c>
    </row>
    <row r="140" spans="1:12">
      <c r="A140" s="181" t="s">
        <v>838</v>
      </c>
      <c r="B140" s="182">
        <v>0.73</v>
      </c>
    </row>
    <row r="141" spans="1:12">
      <c r="A141" s="181" t="s">
        <v>853</v>
      </c>
      <c r="B141" s="182">
        <v>0.74</v>
      </c>
    </row>
    <row r="142" spans="1:12">
      <c r="A142" s="181" t="s">
        <v>840</v>
      </c>
      <c r="B142" s="182">
        <v>0.95</v>
      </c>
    </row>
    <row r="143" spans="1:12" ht="30.75" customHeight="1">
      <c r="A143" s="440" t="s">
        <v>854</v>
      </c>
      <c r="B143" s="440"/>
    </row>
    <row r="144" spans="1:12">
      <c r="A144" s="437"/>
      <c r="B144" s="437"/>
    </row>
    <row r="146" spans="1:12" s="169" customFormat="1" ht="30" customHeight="1" thickBot="1">
      <c r="A146" s="426" t="s">
        <v>855</v>
      </c>
      <c r="B146" s="427"/>
      <c r="C146" s="427"/>
      <c r="D146" s="427"/>
      <c r="E146" s="427"/>
      <c r="F146" s="427"/>
      <c r="G146" s="427"/>
      <c r="H146" s="427"/>
      <c r="I146" s="427"/>
      <c r="J146" s="427"/>
      <c r="K146" s="427"/>
      <c r="L146" s="427"/>
    </row>
    <row r="147" spans="1:12" ht="15">
      <c r="A147" s="170" t="s">
        <v>856</v>
      </c>
    </row>
    <row r="149" spans="1:12" ht="24">
      <c r="A149" s="126" t="s">
        <v>648</v>
      </c>
      <c r="B149" s="126" t="s">
        <v>857</v>
      </c>
      <c r="C149" s="126" t="s">
        <v>858</v>
      </c>
    </row>
    <row r="150" spans="1:12">
      <c r="A150" s="182">
        <v>1193</v>
      </c>
      <c r="B150" s="182">
        <v>845</v>
      </c>
      <c r="C150" s="221">
        <v>0.71</v>
      </c>
    </row>
    <row r="151" spans="1:12" ht="38.25" customHeight="1">
      <c r="A151" s="440" t="s">
        <v>859</v>
      </c>
      <c r="B151" s="440"/>
      <c r="C151" s="440"/>
    </row>
    <row r="152" spans="1:12" ht="24" customHeight="1">
      <c r="A152" s="437"/>
      <c r="B152" s="437"/>
      <c r="C152" s="437"/>
    </row>
  </sheetData>
  <mergeCells count="83">
    <mergeCell ref="A101:C101"/>
    <mergeCell ref="A71:E71"/>
    <mergeCell ref="A10:H10"/>
    <mergeCell ref="C11:D11"/>
    <mergeCell ref="E11:F11"/>
    <mergeCell ref="G11:H11"/>
    <mergeCell ref="A26:E26"/>
    <mergeCell ref="A66:E66"/>
    <mergeCell ref="A48:A49"/>
    <mergeCell ref="A40:C40"/>
    <mergeCell ref="E40:G40"/>
    <mergeCell ref="A45:L45"/>
    <mergeCell ref="B48:C48"/>
    <mergeCell ref="D48:E48"/>
    <mergeCell ref="A50:E50"/>
    <mergeCell ref="A57:E57"/>
    <mergeCell ref="A95:F95"/>
    <mergeCell ref="G77:H77"/>
    <mergeCell ref="G78:H78"/>
    <mergeCell ref="A82:A83"/>
    <mergeCell ref="B82:G82"/>
    <mergeCell ref="H82:L82"/>
    <mergeCell ref="G83:H83"/>
    <mergeCell ref="G84:H84"/>
    <mergeCell ref="G85:H85"/>
    <mergeCell ref="A89:A90"/>
    <mergeCell ref="B89:F89"/>
    <mergeCell ref="A94:F94"/>
    <mergeCell ref="A79:F79"/>
    <mergeCell ref="A86:F86"/>
    <mergeCell ref="A152:C152"/>
    <mergeCell ref="A104:L104"/>
    <mergeCell ref="A113:L113"/>
    <mergeCell ref="A116:C116"/>
    <mergeCell ref="A125:D125"/>
    <mergeCell ref="A134:L134"/>
    <mergeCell ref="A143:B143"/>
    <mergeCell ref="A144:B144"/>
    <mergeCell ref="A146:L146"/>
    <mergeCell ref="A151:C151"/>
    <mergeCell ref="A74:A75"/>
    <mergeCell ref="B74:G74"/>
    <mergeCell ref="H74:L74"/>
    <mergeCell ref="G75:H75"/>
    <mergeCell ref="G76:H76"/>
    <mergeCell ref="A43:E43"/>
    <mergeCell ref="A32:E32"/>
    <mergeCell ref="A34:E34"/>
    <mergeCell ref="A37:L37"/>
    <mergeCell ref="A62:E62"/>
    <mergeCell ref="A20:B20"/>
    <mergeCell ref="A22:E22"/>
    <mergeCell ref="A24:E24"/>
    <mergeCell ref="A28:E28"/>
    <mergeCell ref="A30:E30"/>
    <mergeCell ref="A12:H12"/>
    <mergeCell ref="C13:D13"/>
    <mergeCell ref="E13:F13"/>
    <mergeCell ref="G13:H13"/>
    <mergeCell ref="A14:H14"/>
    <mergeCell ref="C15:D15"/>
    <mergeCell ref="E15:F15"/>
    <mergeCell ref="G15:H15"/>
    <mergeCell ref="A16:H16"/>
    <mergeCell ref="C17:D17"/>
    <mergeCell ref="E17:F17"/>
    <mergeCell ref="G17:H17"/>
    <mergeCell ref="A18:H18"/>
    <mergeCell ref="C9:D9"/>
    <mergeCell ref="E9:F9"/>
    <mergeCell ref="G9:H9"/>
    <mergeCell ref="A1:L1"/>
    <mergeCell ref="A4:C4"/>
    <mergeCell ref="D4:E4"/>
    <mergeCell ref="F4:G4"/>
    <mergeCell ref="C5:D5"/>
    <mergeCell ref="E5:F5"/>
    <mergeCell ref="G5:H5"/>
    <mergeCell ref="A6:H6"/>
    <mergeCell ref="C7:D7"/>
    <mergeCell ref="E7:F7"/>
    <mergeCell ref="G7:H7"/>
    <mergeCell ref="A8:H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A682-AF02-41D2-8F3A-ED3F573D6C94}">
  <dimension ref="A1:L80"/>
  <sheetViews>
    <sheetView showGridLines="0" zoomScale="90" zoomScaleNormal="90" workbookViewId="0">
      <selection activeCell="A70" sqref="A70:L70"/>
    </sheetView>
  </sheetViews>
  <sheetFormatPr baseColWidth="10" defaultColWidth="11.42578125" defaultRowHeight="15"/>
  <cols>
    <col min="1" max="1" width="52.42578125" style="10" customWidth="1"/>
    <col min="2" max="2" width="45.85546875" style="10" customWidth="1"/>
    <col min="3" max="3" width="34.42578125" style="10" customWidth="1"/>
    <col min="4" max="16384" width="11.42578125" style="10"/>
  </cols>
  <sheetData>
    <row r="1" spans="1:12" ht="20.25" thickBot="1">
      <c r="A1" s="451" t="s">
        <v>860</v>
      </c>
      <c r="B1" s="452"/>
      <c r="C1" s="452"/>
      <c r="D1" s="452"/>
      <c r="E1" s="452"/>
      <c r="F1" s="452"/>
      <c r="G1" s="452"/>
      <c r="H1" s="452"/>
      <c r="I1" s="452"/>
      <c r="J1" s="452"/>
      <c r="K1" s="452"/>
      <c r="L1" s="452"/>
    </row>
    <row r="2" spans="1:12" s="15" customFormat="1" ht="15.75" thickTop="1">
      <c r="A2" s="15" t="s">
        <v>861</v>
      </c>
    </row>
    <row r="4" spans="1:12">
      <c r="A4" s="29"/>
      <c r="B4" s="30" t="s">
        <v>244</v>
      </c>
      <c r="C4" s="226" t="s">
        <v>254</v>
      </c>
    </row>
    <row r="5" spans="1:12">
      <c r="A5" s="227" t="s">
        <v>862</v>
      </c>
      <c r="B5" s="228" t="s">
        <v>863</v>
      </c>
      <c r="C5" s="229" t="s">
        <v>864</v>
      </c>
    </row>
    <row r="6" spans="1:12">
      <c r="A6" s="32" t="s">
        <v>865</v>
      </c>
      <c r="B6" s="28">
        <v>37</v>
      </c>
      <c r="C6" s="35">
        <v>17</v>
      </c>
    </row>
    <row r="7" spans="1:12">
      <c r="A7" s="227" t="s">
        <v>866</v>
      </c>
      <c r="B7" s="228">
        <v>189</v>
      </c>
      <c r="C7" s="229">
        <v>72</v>
      </c>
    </row>
    <row r="8" spans="1:12">
      <c r="A8" s="32" t="s">
        <v>867</v>
      </c>
      <c r="B8" s="383" t="s">
        <v>868</v>
      </c>
      <c r="C8" s="453"/>
    </row>
    <row r="9" spans="1:12" ht="39.75" customHeight="1">
      <c r="A9" s="227" t="s">
        <v>869</v>
      </c>
      <c r="B9" s="454" t="s">
        <v>870</v>
      </c>
      <c r="C9" s="455"/>
    </row>
    <row r="10" spans="1:12" ht="72">
      <c r="A10" s="32" t="s">
        <v>871</v>
      </c>
      <c r="B10" s="230" t="s">
        <v>872</v>
      </c>
      <c r="C10" s="35" t="s">
        <v>873</v>
      </c>
    </row>
    <row r="11" spans="1:12">
      <c r="A11" s="227" t="s">
        <v>874</v>
      </c>
      <c r="B11" s="456" t="s">
        <v>875</v>
      </c>
      <c r="C11" s="455"/>
    </row>
    <row r="12" spans="1:12">
      <c r="A12" s="231" t="s">
        <v>876</v>
      </c>
      <c r="B12" s="457" t="s">
        <v>877</v>
      </c>
      <c r="C12" s="458"/>
    </row>
    <row r="15" spans="1:12" ht="20.25" thickBot="1">
      <c r="A15" s="377" t="s">
        <v>878</v>
      </c>
      <c r="B15" s="378"/>
      <c r="C15" s="378"/>
      <c r="D15" s="378"/>
      <c r="E15" s="378"/>
      <c r="F15" s="378"/>
      <c r="G15" s="378"/>
      <c r="H15" s="378"/>
      <c r="I15" s="378"/>
      <c r="J15" s="378"/>
      <c r="K15" s="378"/>
      <c r="L15" s="378"/>
    </row>
    <row r="16" spans="1:12" s="15" customFormat="1">
      <c r="A16" s="15" t="s">
        <v>879</v>
      </c>
    </row>
    <row r="18" spans="1:12">
      <c r="A18" s="54" t="s">
        <v>880</v>
      </c>
      <c r="B18" s="54" t="s">
        <v>244</v>
      </c>
      <c r="C18" s="54" t="s">
        <v>254</v>
      </c>
    </row>
    <row r="19" spans="1:12">
      <c r="A19" s="28" t="s">
        <v>862</v>
      </c>
      <c r="B19" s="28" t="s">
        <v>863</v>
      </c>
      <c r="C19" s="28" t="s">
        <v>864</v>
      </c>
    </row>
    <row r="20" spans="1:12">
      <c r="A20" s="28" t="s">
        <v>865</v>
      </c>
      <c r="B20" s="73">
        <v>37</v>
      </c>
      <c r="C20" s="73">
        <v>17</v>
      </c>
    </row>
    <row r="21" spans="1:12">
      <c r="A21" s="28" t="s">
        <v>866</v>
      </c>
      <c r="B21" s="73">
        <v>189</v>
      </c>
      <c r="C21" s="73">
        <v>72</v>
      </c>
    </row>
    <row r="22" spans="1:12" ht="24">
      <c r="A22" s="28" t="s">
        <v>881</v>
      </c>
      <c r="B22" s="232">
        <v>0</v>
      </c>
      <c r="C22" s="232">
        <v>0.06</v>
      </c>
    </row>
    <row r="23" spans="1:12" ht="24">
      <c r="A23" s="28" t="s">
        <v>882</v>
      </c>
      <c r="B23" s="232">
        <v>1</v>
      </c>
      <c r="C23" s="232">
        <v>1</v>
      </c>
    </row>
    <row r="26" spans="1:12" ht="20.25" thickBot="1">
      <c r="A26" s="377" t="s">
        <v>883</v>
      </c>
      <c r="B26" s="378"/>
      <c r="C26" s="378"/>
      <c r="D26" s="378"/>
      <c r="E26" s="378"/>
      <c r="F26" s="378"/>
      <c r="G26" s="378"/>
      <c r="H26" s="378"/>
      <c r="I26" s="378"/>
      <c r="J26" s="378"/>
      <c r="K26" s="378"/>
      <c r="L26" s="378"/>
    </row>
    <row r="27" spans="1:12" s="15" customFormat="1">
      <c r="A27" s="15" t="s">
        <v>884</v>
      </c>
    </row>
    <row r="29" spans="1:12">
      <c r="A29" s="54" t="s">
        <v>885</v>
      </c>
      <c r="B29" s="54" t="s">
        <v>244</v>
      </c>
      <c r="C29" s="54" t="s">
        <v>254</v>
      </c>
    </row>
    <row r="30" spans="1:12">
      <c r="A30" s="28" t="s">
        <v>862</v>
      </c>
      <c r="B30" s="28" t="s">
        <v>863</v>
      </c>
      <c r="C30" s="28" t="s">
        <v>864</v>
      </c>
    </row>
    <row r="31" spans="1:12">
      <c r="A31" s="28" t="s">
        <v>865</v>
      </c>
      <c r="B31" s="73">
        <v>37</v>
      </c>
      <c r="C31" s="73">
        <v>17</v>
      </c>
    </row>
    <row r="32" spans="1:12">
      <c r="A32" s="28" t="s">
        <v>866</v>
      </c>
      <c r="B32" s="73">
        <v>189</v>
      </c>
      <c r="C32" s="73">
        <v>72</v>
      </c>
    </row>
    <row r="33" spans="1:12" ht="24">
      <c r="A33" s="28" t="s">
        <v>886</v>
      </c>
      <c r="B33" s="232">
        <v>0</v>
      </c>
      <c r="C33" s="232">
        <v>0</v>
      </c>
    </row>
    <row r="34" spans="1:12" ht="24">
      <c r="A34" s="28" t="s">
        <v>887</v>
      </c>
      <c r="B34" s="232">
        <v>1</v>
      </c>
      <c r="C34" s="232">
        <v>1</v>
      </c>
    </row>
    <row r="37" spans="1:12" ht="20.25" thickBot="1">
      <c r="A37" s="377" t="s">
        <v>888</v>
      </c>
      <c r="B37" s="378"/>
      <c r="C37" s="378"/>
      <c r="D37" s="378"/>
      <c r="E37" s="378"/>
      <c r="F37" s="378"/>
      <c r="G37" s="378"/>
      <c r="H37" s="378"/>
      <c r="I37" s="378"/>
      <c r="J37" s="378"/>
      <c r="K37" s="378"/>
      <c r="L37" s="378"/>
    </row>
    <row r="38" spans="1:12" s="15" customFormat="1">
      <c r="A38" s="15" t="s">
        <v>889</v>
      </c>
    </row>
    <row r="39" spans="1:12" s="15" customFormat="1"/>
    <row r="40" spans="1:12">
      <c r="A40" s="54" t="s">
        <v>890</v>
      </c>
      <c r="B40" s="54" t="s">
        <v>244</v>
      </c>
      <c r="C40" s="54" t="s">
        <v>254</v>
      </c>
    </row>
    <row r="41" spans="1:12">
      <c r="A41" s="28" t="s">
        <v>862</v>
      </c>
      <c r="B41" s="28" t="s">
        <v>863</v>
      </c>
      <c r="C41" s="28" t="s">
        <v>864</v>
      </c>
    </row>
    <row r="42" spans="1:12">
      <c r="A42" s="28" t="s">
        <v>865</v>
      </c>
      <c r="B42" s="73">
        <v>37</v>
      </c>
      <c r="C42" s="73">
        <v>17</v>
      </c>
    </row>
    <row r="43" spans="1:12">
      <c r="A43" s="28" t="s">
        <v>866</v>
      </c>
      <c r="B43" s="73">
        <v>189</v>
      </c>
      <c r="C43" s="73">
        <v>72</v>
      </c>
    </row>
    <row r="44" spans="1:12" ht="24">
      <c r="A44" s="28" t="s">
        <v>891</v>
      </c>
      <c r="B44" s="232">
        <v>1</v>
      </c>
      <c r="C44" s="232">
        <v>1</v>
      </c>
    </row>
    <row r="45" spans="1:12" ht="24">
      <c r="A45" s="28" t="s">
        <v>892</v>
      </c>
      <c r="B45" s="232">
        <v>0</v>
      </c>
      <c r="C45" s="232">
        <v>0</v>
      </c>
    </row>
    <row r="48" spans="1:12" ht="20.25" thickBot="1">
      <c r="A48" s="377" t="s">
        <v>893</v>
      </c>
      <c r="B48" s="378"/>
      <c r="C48" s="378"/>
      <c r="D48" s="378"/>
      <c r="E48" s="378"/>
      <c r="F48" s="378"/>
      <c r="G48" s="378"/>
      <c r="H48" s="378"/>
      <c r="I48" s="378"/>
      <c r="J48" s="378"/>
      <c r="K48" s="378"/>
      <c r="L48" s="378"/>
    </row>
    <row r="49" spans="1:12" s="15" customFormat="1">
      <c r="A49" s="15" t="s">
        <v>894</v>
      </c>
    </row>
    <row r="51" spans="1:12">
      <c r="A51" s="54" t="s">
        <v>895</v>
      </c>
      <c r="B51" s="54" t="s">
        <v>244</v>
      </c>
      <c r="C51" s="54" t="s">
        <v>254</v>
      </c>
    </row>
    <row r="52" spans="1:12">
      <c r="A52" s="28" t="s">
        <v>862</v>
      </c>
      <c r="B52" s="28" t="s">
        <v>863</v>
      </c>
      <c r="C52" s="28" t="s">
        <v>864</v>
      </c>
    </row>
    <row r="53" spans="1:12">
      <c r="A53" s="28" t="s">
        <v>865</v>
      </c>
      <c r="B53" s="73">
        <v>37</v>
      </c>
      <c r="C53" s="73">
        <v>17</v>
      </c>
    </row>
    <row r="54" spans="1:12">
      <c r="A54" s="28" t="s">
        <v>866</v>
      </c>
      <c r="B54" s="73">
        <v>189</v>
      </c>
      <c r="C54" s="73">
        <v>72</v>
      </c>
    </row>
    <row r="55" spans="1:12" ht="24">
      <c r="A55" s="28" t="s">
        <v>896</v>
      </c>
      <c r="B55" s="232">
        <v>0</v>
      </c>
      <c r="C55" s="232">
        <v>0.5</v>
      </c>
    </row>
    <row r="56" spans="1:12" ht="24">
      <c r="A56" s="28" t="s">
        <v>897</v>
      </c>
      <c r="B56" s="232">
        <v>1</v>
      </c>
      <c r="C56" s="232">
        <v>1</v>
      </c>
    </row>
    <row r="59" spans="1:12" ht="20.25" thickBot="1">
      <c r="A59" s="377" t="s">
        <v>898</v>
      </c>
      <c r="B59" s="378"/>
      <c r="C59" s="378"/>
      <c r="D59" s="378"/>
      <c r="E59" s="378"/>
      <c r="F59" s="378"/>
      <c r="G59" s="378"/>
      <c r="H59" s="378"/>
      <c r="I59" s="378"/>
      <c r="J59" s="378"/>
      <c r="K59" s="378"/>
      <c r="L59" s="378"/>
    </row>
    <row r="60" spans="1:12" s="15" customFormat="1">
      <c r="A60" s="15" t="s">
        <v>899</v>
      </c>
    </row>
    <row r="61" spans="1:12" s="15" customFormat="1"/>
    <row r="62" spans="1:12">
      <c r="A62" s="54" t="s">
        <v>900</v>
      </c>
      <c r="B62" s="54" t="s">
        <v>244</v>
      </c>
      <c r="C62" s="54" t="s">
        <v>254</v>
      </c>
    </row>
    <row r="63" spans="1:12">
      <c r="A63" s="28" t="s">
        <v>862</v>
      </c>
      <c r="B63" s="28" t="s">
        <v>863</v>
      </c>
      <c r="C63" s="28" t="s">
        <v>864</v>
      </c>
    </row>
    <row r="64" spans="1:12">
      <c r="A64" s="28" t="s">
        <v>865</v>
      </c>
      <c r="B64" s="73">
        <v>37</v>
      </c>
      <c r="C64" s="73">
        <v>17</v>
      </c>
    </row>
    <row r="65" spans="1:12">
      <c r="A65" s="28" t="s">
        <v>866</v>
      </c>
      <c r="B65" s="73">
        <v>189</v>
      </c>
      <c r="C65" s="73">
        <v>72</v>
      </c>
    </row>
    <row r="66" spans="1:12" ht="24">
      <c r="A66" s="28" t="s">
        <v>901</v>
      </c>
      <c r="B66" s="232">
        <v>0.54</v>
      </c>
      <c r="C66" s="232">
        <v>0.1</v>
      </c>
    </row>
    <row r="67" spans="1:12" ht="24">
      <c r="A67" s="28" t="s">
        <v>902</v>
      </c>
      <c r="B67" s="232">
        <v>1</v>
      </c>
      <c r="C67" s="232">
        <v>1</v>
      </c>
    </row>
    <row r="70" spans="1:12" ht="20.25" thickBot="1">
      <c r="A70" s="377" t="s">
        <v>903</v>
      </c>
      <c r="B70" s="378"/>
      <c r="C70" s="378"/>
      <c r="D70" s="378"/>
      <c r="E70" s="378"/>
      <c r="F70" s="378"/>
      <c r="G70" s="378"/>
      <c r="H70" s="378"/>
      <c r="I70" s="378"/>
      <c r="J70" s="378"/>
      <c r="K70" s="378"/>
      <c r="L70" s="378"/>
    </row>
    <row r="71" spans="1:12" s="15" customFormat="1">
      <c r="A71" s="15" t="s">
        <v>904</v>
      </c>
    </row>
    <row r="73" spans="1:12" ht="15.75" thickBot="1">
      <c r="A73" s="287" t="s">
        <v>905</v>
      </c>
      <c r="B73" s="287" t="s">
        <v>244</v>
      </c>
      <c r="C73" s="287" t="s">
        <v>254</v>
      </c>
    </row>
    <row r="74" spans="1:12">
      <c r="A74" s="28" t="s">
        <v>862</v>
      </c>
      <c r="B74" s="28" t="s">
        <v>863</v>
      </c>
      <c r="C74" s="28" t="s">
        <v>864</v>
      </c>
    </row>
    <row r="75" spans="1:12">
      <c r="A75" s="28" t="s">
        <v>865</v>
      </c>
      <c r="B75" s="73">
        <v>37</v>
      </c>
      <c r="C75" s="73">
        <v>17</v>
      </c>
    </row>
    <row r="76" spans="1:12">
      <c r="A76" s="28" t="s">
        <v>866</v>
      </c>
      <c r="B76" s="73">
        <v>189</v>
      </c>
      <c r="C76" s="73">
        <v>72</v>
      </c>
    </row>
    <row r="77" spans="1:12" ht="36">
      <c r="A77" s="28" t="s">
        <v>906</v>
      </c>
      <c r="B77" s="232">
        <v>0</v>
      </c>
      <c r="C77" s="232">
        <v>0</v>
      </c>
    </row>
    <row r="78" spans="1:12" ht="24">
      <c r="A78" s="28" t="s">
        <v>907</v>
      </c>
      <c r="B78" s="232">
        <v>1</v>
      </c>
      <c r="C78" s="232">
        <f>15/17</f>
        <v>0.88235294117647056</v>
      </c>
    </row>
    <row r="79" spans="1:12" ht="29.25" customHeight="1"/>
    <row r="80" spans="1:12" ht="30" customHeight="1">
      <c r="A80" s="393" t="s">
        <v>908</v>
      </c>
      <c r="B80" s="393"/>
      <c r="C80" s="393"/>
      <c r="D80" s="393"/>
      <c r="E80" s="393"/>
      <c r="F80" s="393"/>
      <c r="G80" s="393"/>
      <c r="H80" s="393"/>
      <c r="I80" s="393"/>
    </row>
  </sheetData>
  <mergeCells count="12">
    <mergeCell ref="A80:I80"/>
    <mergeCell ref="B11:C11"/>
    <mergeCell ref="B12:C12"/>
    <mergeCell ref="A15:L15"/>
    <mergeCell ref="A26:L26"/>
    <mergeCell ref="A37:L37"/>
    <mergeCell ref="A48:L48"/>
    <mergeCell ref="A1:L1"/>
    <mergeCell ref="B8:C8"/>
    <mergeCell ref="B9:C9"/>
    <mergeCell ref="A59:L59"/>
    <mergeCell ref="A70:L70"/>
  </mergeCells>
  <pageMargins left="0.7" right="0.7" top="0.75" bottom="0.75" header="0.3" footer="0.3"/>
  <drawing r:id="rId1"/>
  <tableParts count="6">
    <tablePart r:id="rId2"/>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2FCF-035C-47F9-ADA9-6996F78C63DD}">
  <dimension ref="A1:L7"/>
  <sheetViews>
    <sheetView showGridLines="0" zoomScaleNormal="100" workbookViewId="0">
      <selection activeCell="J32" sqref="J32"/>
    </sheetView>
  </sheetViews>
  <sheetFormatPr baseColWidth="10" defaultColWidth="11.42578125" defaultRowHeight="15"/>
  <cols>
    <col min="1" max="1" width="41.28515625" style="10" customWidth="1"/>
    <col min="2" max="2" width="52" style="10" customWidth="1"/>
    <col min="3" max="3" width="25.28515625" style="10" customWidth="1"/>
    <col min="4" max="16384" width="11.42578125" style="10"/>
  </cols>
  <sheetData>
    <row r="1" spans="1:12" ht="20.25" thickBot="1">
      <c r="A1" s="377" t="s">
        <v>909</v>
      </c>
      <c r="B1" s="378"/>
      <c r="C1" s="378"/>
      <c r="D1" s="378"/>
      <c r="E1" s="378"/>
      <c r="F1" s="378"/>
      <c r="G1" s="378"/>
      <c r="H1" s="378"/>
      <c r="I1" s="378"/>
      <c r="J1" s="378"/>
      <c r="K1" s="378"/>
      <c r="L1" s="378"/>
    </row>
    <row r="2" spans="1:12" s="15" customFormat="1">
      <c r="A2" s="15" t="s">
        <v>910</v>
      </c>
    </row>
    <row r="3" spans="1:12">
      <c r="A3" s="146"/>
    </row>
    <row r="4" spans="1:12">
      <c r="A4" s="70" t="s">
        <v>911</v>
      </c>
      <c r="B4" s="70" t="s">
        <v>912</v>
      </c>
      <c r="C4" s="70" t="s">
        <v>913</v>
      </c>
    </row>
    <row r="5" spans="1:12">
      <c r="A5" s="75">
        <v>107</v>
      </c>
      <c r="B5" s="75">
        <v>107</v>
      </c>
      <c r="C5" s="156">
        <v>1</v>
      </c>
    </row>
    <row r="6" spans="1:12" ht="51" customHeight="1">
      <c r="A6" s="383" t="s">
        <v>914</v>
      </c>
      <c r="B6" s="459"/>
      <c r="C6" s="459"/>
    </row>
    <row r="7" spans="1:12">
      <c r="A7" s="460"/>
      <c r="B7" s="460"/>
      <c r="C7" s="460"/>
    </row>
  </sheetData>
  <mergeCells count="3">
    <mergeCell ref="A1:L1"/>
    <mergeCell ref="A6:C6"/>
    <mergeCell ref="A7:C7"/>
  </mergeCell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434CA-6F96-4547-906E-541AFF07D60B}">
  <dimension ref="A1:L10"/>
  <sheetViews>
    <sheetView showGridLines="0" zoomScaleNormal="100" workbookViewId="0">
      <selection sqref="A1:L1"/>
    </sheetView>
  </sheetViews>
  <sheetFormatPr baseColWidth="10" defaultColWidth="11.42578125" defaultRowHeight="15"/>
  <cols>
    <col min="1" max="1" width="45.85546875" style="10" customWidth="1"/>
    <col min="2" max="2" width="34.28515625" style="10" bestFit="1" customWidth="1"/>
    <col min="3" max="3" width="57.7109375" style="10" customWidth="1"/>
    <col min="4" max="4" width="23.7109375" style="10" bestFit="1" customWidth="1"/>
    <col min="5" max="16384" width="11.42578125" style="10"/>
  </cols>
  <sheetData>
    <row r="1" spans="1:12" s="71" customFormat="1" ht="30" customHeight="1" thickBot="1">
      <c r="A1" s="377" t="s">
        <v>915</v>
      </c>
      <c r="B1" s="378"/>
      <c r="C1" s="378"/>
      <c r="D1" s="378"/>
      <c r="E1" s="378"/>
      <c r="F1" s="378"/>
      <c r="G1" s="378"/>
      <c r="H1" s="378"/>
      <c r="I1" s="378"/>
      <c r="J1" s="378"/>
      <c r="K1" s="378"/>
      <c r="L1" s="378"/>
    </row>
    <row r="2" spans="1:12" s="15" customFormat="1">
      <c r="A2" s="15" t="s">
        <v>916</v>
      </c>
    </row>
    <row r="4" spans="1:12">
      <c r="A4" s="237" t="s">
        <v>384</v>
      </c>
      <c r="B4" s="237" t="s">
        <v>917</v>
      </c>
      <c r="C4" s="237" t="s">
        <v>918</v>
      </c>
      <c r="D4" s="237" t="s">
        <v>919</v>
      </c>
    </row>
    <row r="5" spans="1:12">
      <c r="A5" s="46" t="s">
        <v>244</v>
      </c>
      <c r="B5" s="75">
        <v>158</v>
      </c>
      <c r="C5" s="75">
        <v>145</v>
      </c>
      <c r="D5" s="233">
        <f>C5/B5</f>
        <v>0.91772151898734178</v>
      </c>
    </row>
    <row r="6" spans="1:12">
      <c r="A6" s="46" t="s">
        <v>254</v>
      </c>
      <c r="B6" s="75">
        <f>146+18</f>
        <v>164</v>
      </c>
      <c r="C6" s="75">
        <v>92</v>
      </c>
      <c r="D6" s="233">
        <f>C6/B6</f>
        <v>0.56097560975609762</v>
      </c>
    </row>
    <row r="7" spans="1:12">
      <c r="A7" s="46" t="s">
        <v>259</v>
      </c>
      <c r="B7" s="75">
        <v>3</v>
      </c>
      <c r="C7" s="75">
        <v>0</v>
      </c>
      <c r="D7" s="233">
        <f>C7/B7</f>
        <v>0</v>
      </c>
    </row>
    <row r="8" spans="1:12">
      <c r="A8" s="46" t="s">
        <v>262</v>
      </c>
      <c r="B8" s="75">
        <v>0</v>
      </c>
      <c r="C8" s="75">
        <v>0</v>
      </c>
      <c r="D8" s="233">
        <v>0</v>
      </c>
    </row>
    <row r="9" spans="1:12" ht="15.75" thickBot="1">
      <c r="A9" s="234" t="s">
        <v>416</v>
      </c>
      <c r="B9" s="235">
        <f>SUBTOTAL(109,Tabla59['# Security personnel at site(1)])</f>
        <v>325</v>
      </c>
      <c r="C9" s="235">
        <f>SUBTOTAL(109,Tabla59['# Security personnel who have received formal training])</f>
        <v>237</v>
      </c>
      <c r="D9" s="236">
        <f>Tabla59[[#Totals],['# Security personnel who have received formal training]]/Tabla59[[#Totals],['# Security personnel at site(1)]]</f>
        <v>0.72923076923076924</v>
      </c>
    </row>
    <row r="10" spans="1:12" ht="27" customHeight="1" thickTop="1">
      <c r="A10" s="461" t="s">
        <v>920</v>
      </c>
      <c r="B10" s="461"/>
      <c r="C10" s="461"/>
      <c r="D10" s="461"/>
    </row>
  </sheetData>
  <mergeCells count="2">
    <mergeCell ref="A1:L1"/>
    <mergeCell ref="A10:D10"/>
  </mergeCell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28F2-F6C4-4D6E-87FA-64A0B95BE20F}">
  <dimension ref="A1:L63"/>
  <sheetViews>
    <sheetView showGridLines="0" zoomScale="80" zoomScaleNormal="80" workbookViewId="0">
      <selection activeCell="A49" sqref="A49"/>
    </sheetView>
  </sheetViews>
  <sheetFormatPr baseColWidth="10" defaultColWidth="11.42578125" defaultRowHeight="15"/>
  <cols>
    <col min="1" max="1" width="67.7109375" style="10" customWidth="1"/>
    <col min="2" max="2" width="86.140625" style="10" customWidth="1"/>
    <col min="3" max="3" width="34" style="10" customWidth="1"/>
    <col min="4" max="4" width="31.28515625" style="10" customWidth="1"/>
    <col min="5" max="5" width="28.28515625" style="10" customWidth="1"/>
    <col min="6" max="6" width="37" style="10" customWidth="1"/>
    <col min="7" max="7" width="55.42578125" style="10" customWidth="1"/>
    <col min="8" max="8" width="15.85546875" style="10" customWidth="1"/>
    <col min="9" max="9" width="16.28515625" style="10" customWidth="1"/>
    <col min="10" max="10" width="9.85546875" style="10" bestFit="1" customWidth="1"/>
    <col min="11" max="11" width="8" style="10" customWidth="1"/>
    <col min="12" max="16384" width="11.42578125" style="10"/>
  </cols>
  <sheetData>
    <row r="1" spans="1:12" s="71" customFormat="1" ht="30" customHeight="1" thickBot="1">
      <c r="A1" s="377" t="s">
        <v>921</v>
      </c>
      <c r="B1" s="378"/>
      <c r="C1" s="378"/>
      <c r="D1" s="378"/>
      <c r="E1" s="378"/>
      <c r="F1" s="378"/>
      <c r="G1" s="378"/>
      <c r="H1" s="378"/>
      <c r="I1" s="378"/>
      <c r="J1" s="378"/>
      <c r="K1" s="378"/>
      <c r="L1" s="378"/>
    </row>
    <row r="2" spans="1:12" s="15" customFormat="1">
      <c r="A2" s="15" t="s">
        <v>922</v>
      </c>
    </row>
    <row r="4" spans="1:12" s="64" customFormat="1">
      <c r="A4" s="127" t="s">
        <v>923</v>
      </c>
      <c r="B4" s="434" t="s">
        <v>924</v>
      </c>
      <c r="C4" s="434" t="s">
        <v>925</v>
      </c>
      <c r="D4" s="434"/>
      <c r="E4" s="434"/>
      <c r="F4" s="434"/>
      <c r="G4" s="434"/>
      <c r="H4" s="434"/>
      <c r="I4" s="434"/>
      <c r="J4" s="434"/>
      <c r="K4" s="434"/>
      <c r="L4" s="434" t="s">
        <v>926</v>
      </c>
    </row>
    <row r="5" spans="1:12" s="64" customFormat="1" ht="24">
      <c r="A5" s="127" t="s">
        <v>927</v>
      </c>
      <c r="B5" s="434"/>
      <c r="C5" s="238" t="s">
        <v>928</v>
      </c>
      <c r="D5" s="238" t="s">
        <v>929</v>
      </c>
      <c r="E5" s="238" t="s">
        <v>930</v>
      </c>
      <c r="F5" s="238" t="s">
        <v>931</v>
      </c>
      <c r="G5" s="238" t="s">
        <v>1175</v>
      </c>
      <c r="H5" s="238" t="s">
        <v>932</v>
      </c>
      <c r="I5" s="238" t="s">
        <v>933</v>
      </c>
      <c r="J5" s="238" t="s">
        <v>934</v>
      </c>
      <c r="K5" s="238" t="s">
        <v>416</v>
      </c>
      <c r="L5" s="434"/>
    </row>
    <row r="6" spans="1:12">
      <c r="A6" s="239">
        <v>2020</v>
      </c>
      <c r="B6" s="239">
        <v>242.8</v>
      </c>
      <c r="C6" s="239">
        <v>99.5</v>
      </c>
      <c r="D6" s="239">
        <v>35.799999999999997</v>
      </c>
      <c r="E6" s="239">
        <v>35.5</v>
      </c>
      <c r="F6" s="239">
        <v>0</v>
      </c>
      <c r="G6" s="239">
        <v>16.7</v>
      </c>
      <c r="H6" s="239">
        <v>1.7</v>
      </c>
      <c r="I6" s="239">
        <v>3.1</v>
      </c>
      <c r="J6" s="239">
        <v>6.1</v>
      </c>
      <c r="K6" s="239">
        <v>198.4</v>
      </c>
      <c r="L6" s="240">
        <v>44.4</v>
      </c>
    </row>
    <row r="7" spans="1:12">
      <c r="A7" s="239">
        <v>2021</v>
      </c>
      <c r="B7" s="239">
        <v>335.72</v>
      </c>
      <c r="C7" s="239">
        <v>124.2</v>
      </c>
      <c r="D7" s="239">
        <v>47.4</v>
      </c>
      <c r="E7" s="239">
        <v>59.2</v>
      </c>
      <c r="F7" s="239">
        <v>0</v>
      </c>
      <c r="G7" s="239">
        <v>32</v>
      </c>
      <c r="H7" s="239">
        <v>3</v>
      </c>
      <c r="I7" s="239">
        <v>2</v>
      </c>
      <c r="J7" s="239">
        <v>18.100000000000001</v>
      </c>
      <c r="K7" s="239">
        <v>285.89999999999998</v>
      </c>
      <c r="L7" s="240">
        <v>49.8</v>
      </c>
    </row>
    <row r="8" spans="1:12" ht="30.75" customHeight="1">
      <c r="A8" s="462" t="s">
        <v>935</v>
      </c>
      <c r="B8" s="462"/>
      <c r="C8" s="462"/>
      <c r="D8" s="462"/>
      <c r="E8" s="462"/>
      <c r="F8" s="462"/>
      <c r="G8" s="462"/>
      <c r="H8" s="462"/>
      <c r="I8" s="462"/>
      <c r="J8" s="462"/>
      <c r="K8" s="462"/>
      <c r="L8" s="462"/>
    </row>
    <row r="11" spans="1:12" s="71" customFormat="1" ht="30" customHeight="1" thickBot="1">
      <c r="A11" s="377" t="s">
        <v>936</v>
      </c>
      <c r="B11" s="378"/>
      <c r="C11" s="378"/>
      <c r="D11" s="378"/>
      <c r="E11" s="378"/>
      <c r="F11" s="378"/>
      <c r="G11" s="378"/>
      <c r="H11" s="378"/>
      <c r="I11" s="378"/>
      <c r="J11" s="378"/>
      <c r="K11" s="378"/>
      <c r="L11" s="378"/>
    </row>
    <row r="12" spans="1:12" s="15" customFormat="1">
      <c r="A12" s="15" t="s">
        <v>937</v>
      </c>
    </row>
    <row r="14" spans="1:12">
      <c r="A14" s="73" t="s">
        <v>938</v>
      </c>
      <c r="B14" s="241">
        <v>7423.9</v>
      </c>
    </row>
    <row r="15" spans="1:12">
      <c r="A15" s="73" t="s">
        <v>939</v>
      </c>
      <c r="B15" s="242">
        <v>7929</v>
      </c>
    </row>
    <row r="16" spans="1:12">
      <c r="A16" s="73" t="s">
        <v>940</v>
      </c>
      <c r="B16" s="242">
        <v>11019</v>
      </c>
    </row>
    <row r="17" spans="1:12">
      <c r="A17" s="73" t="s">
        <v>941</v>
      </c>
      <c r="B17" s="242">
        <v>17237</v>
      </c>
    </row>
    <row r="18" spans="1:12">
      <c r="A18" s="73" t="s">
        <v>942</v>
      </c>
      <c r="B18" s="242">
        <v>7929</v>
      </c>
    </row>
    <row r="19" spans="1:12">
      <c r="A19" s="73" t="s">
        <v>943</v>
      </c>
      <c r="B19" s="242">
        <v>38801</v>
      </c>
    </row>
    <row r="20" spans="1:12">
      <c r="A20" s="73" t="s">
        <v>944</v>
      </c>
      <c r="B20" s="243">
        <f>B18/B14</f>
        <v>1.0680370155848005</v>
      </c>
    </row>
    <row r="21" spans="1:12">
      <c r="A21" s="73" t="s">
        <v>945</v>
      </c>
      <c r="B21" s="244">
        <f>B19/B16</f>
        <v>3.5212814229966423</v>
      </c>
    </row>
    <row r="22" spans="1:12" ht="27" customHeight="1">
      <c r="A22" s="245" t="s">
        <v>946</v>
      </c>
      <c r="B22" s="246">
        <v>1</v>
      </c>
    </row>
    <row r="23" spans="1:12" ht="27.75" customHeight="1">
      <c r="A23" s="245" t="s">
        <v>947</v>
      </c>
      <c r="B23" s="246">
        <v>2.25</v>
      </c>
    </row>
    <row r="24" spans="1:12" ht="25.5" customHeight="1">
      <c r="A24" s="247" t="s">
        <v>948</v>
      </c>
      <c r="B24" s="248" t="s">
        <v>949</v>
      </c>
    </row>
    <row r="25" spans="1:12" ht="82.5" customHeight="1">
      <c r="A25" s="392" t="s">
        <v>950</v>
      </c>
      <c r="B25" s="392"/>
    </row>
    <row r="26" spans="1:12">
      <c r="A26" s="463"/>
      <c r="B26" s="463"/>
    </row>
    <row r="28" spans="1:12" s="71" customFormat="1" ht="30" customHeight="1" thickBot="1">
      <c r="A28" s="377" t="s">
        <v>951</v>
      </c>
      <c r="B28" s="378"/>
      <c r="C28" s="378"/>
      <c r="D28" s="378"/>
      <c r="E28" s="378"/>
      <c r="F28" s="378"/>
      <c r="G28" s="378"/>
      <c r="H28" s="378"/>
      <c r="I28" s="378"/>
      <c r="J28" s="378"/>
      <c r="K28" s="378"/>
      <c r="L28" s="378"/>
    </row>
    <row r="29" spans="1:12" s="15" customFormat="1">
      <c r="A29" s="15" t="s">
        <v>952</v>
      </c>
    </row>
    <row r="31" spans="1:12" s="64" customFormat="1" ht="25.5" customHeight="1">
      <c r="A31" s="95" t="s">
        <v>242</v>
      </c>
      <c r="B31" s="95" t="s">
        <v>953</v>
      </c>
      <c r="C31" s="95" t="s">
        <v>954</v>
      </c>
      <c r="D31" s="95" t="s">
        <v>955</v>
      </c>
      <c r="E31" s="95" t="s">
        <v>956</v>
      </c>
      <c r="F31" s="95" t="s">
        <v>424</v>
      </c>
      <c r="G31" s="95" t="s">
        <v>957</v>
      </c>
    </row>
    <row r="32" spans="1:12" ht="72">
      <c r="A32" s="28" t="s">
        <v>958</v>
      </c>
      <c r="B32" s="28" t="s">
        <v>959</v>
      </c>
      <c r="C32" s="28" t="s">
        <v>960</v>
      </c>
      <c r="D32" s="73" t="s">
        <v>961</v>
      </c>
      <c r="E32" s="72" t="s">
        <v>962</v>
      </c>
      <c r="F32" s="72" t="s">
        <v>963</v>
      </c>
      <c r="G32" s="28" t="s">
        <v>964</v>
      </c>
    </row>
    <row r="33" spans="1:12" ht="48">
      <c r="A33" s="28" t="s">
        <v>958</v>
      </c>
      <c r="B33" s="28" t="s">
        <v>965</v>
      </c>
      <c r="C33" s="28" t="s">
        <v>966</v>
      </c>
      <c r="D33" s="73" t="s">
        <v>967</v>
      </c>
      <c r="E33" s="72" t="s">
        <v>962</v>
      </c>
      <c r="F33" s="72" t="s">
        <v>968</v>
      </c>
      <c r="G33" s="28" t="s">
        <v>969</v>
      </c>
    </row>
    <row r="34" spans="1:12" ht="32.25" customHeight="1">
      <c r="A34" s="28" t="s">
        <v>958</v>
      </c>
      <c r="B34" s="28" t="s">
        <v>970</v>
      </c>
      <c r="C34" s="28" t="s">
        <v>971</v>
      </c>
      <c r="D34" s="73" t="s">
        <v>972</v>
      </c>
      <c r="E34" s="72" t="s">
        <v>962</v>
      </c>
      <c r="F34" s="72">
        <v>2021</v>
      </c>
      <c r="G34" s="28" t="s">
        <v>973</v>
      </c>
    </row>
    <row r="35" spans="1:12" ht="36">
      <c r="A35" s="28" t="s">
        <v>958</v>
      </c>
      <c r="B35" s="28" t="s">
        <v>974</v>
      </c>
      <c r="C35" s="28" t="s">
        <v>975</v>
      </c>
      <c r="D35" s="73" t="s">
        <v>976</v>
      </c>
      <c r="E35" s="72" t="s">
        <v>962</v>
      </c>
      <c r="F35" s="72">
        <v>2021</v>
      </c>
      <c r="G35" s="28" t="s">
        <v>977</v>
      </c>
    </row>
    <row r="36" spans="1:12" ht="96">
      <c r="A36" s="28" t="s">
        <v>958</v>
      </c>
      <c r="B36" s="28" t="s">
        <v>978</v>
      </c>
      <c r="C36" s="28" t="s">
        <v>979</v>
      </c>
      <c r="D36" s="75" t="s">
        <v>980</v>
      </c>
      <c r="E36" s="72" t="s">
        <v>962</v>
      </c>
      <c r="F36" s="72" t="s">
        <v>981</v>
      </c>
      <c r="G36" s="28" t="s">
        <v>982</v>
      </c>
    </row>
    <row r="37" spans="1:12" ht="48">
      <c r="A37" s="28" t="s">
        <v>958</v>
      </c>
      <c r="B37" s="28" t="s">
        <v>983</v>
      </c>
      <c r="C37" s="28" t="s">
        <v>984</v>
      </c>
      <c r="D37" s="75" t="s">
        <v>985</v>
      </c>
      <c r="E37" s="72"/>
      <c r="F37" s="72" t="s">
        <v>986</v>
      </c>
      <c r="G37" s="28" t="s">
        <v>987</v>
      </c>
    </row>
    <row r="38" spans="1:12" ht="72">
      <c r="A38" s="28" t="s">
        <v>447</v>
      </c>
      <c r="B38" s="28" t="s">
        <v>988</v>
      </c>
      <c r="C38" s="28" t="s">
        <v>989</v>
      </c>
      <c r="D38" s="73" t="s">
        <v>990</v>
      </c>
      <c r="E38" s="72" t="s">
        <v>962</v>
      </c>
      <c r="F38" s="72">
        <v>2021</v>
      </c>
      <c r="G38" s="28" t="s">
        <v>991</v>
      </c>
    </row>
    <row r="39" spans="1:12" ht="84">
      <c r="A39" s="28" t="s">
        <v>447</v>
      </c>
      <c r="B39" s="28" t="s">
        <v>992</v>
      </c>
      <c r="C39" s="28" t="s">
        <v>993</v>
      </c>
      <c r="D39" s="73" t="s">
        <v>994</v>
      </c>
      <c r="E39" s="72" t="s">
        <v>962</v>
      </c>
      <c r="F39" s="72">
        <v>2021</v>
      </c>
      <c r="G39" s="28" t="s">
        <v>995</v>
      </c>
    </row>
    <row r="40" spans="1:12" ht="84">
      <c r="A40" s="28" t="s">
        <v>447</v>
      </c>
      <c r="B40" s="28" t="s">
        <v>996</v>
      </c>
      <c r="C40" s="28" t="s">
        <v>997</v>
      </c>
      <c r="D40" s="73" t="s">
        <v>998</v>
      </c>
      <c r="E40" s="72" t="s">
        <v>962</v>
      </c>
      <c r="F40" s="72">
        <v>2021</v>
      </c>
      <c r="G40" s="28" t="s">
        <v>999</v>
      </c>
    </row>
    <row r="41" spans="1:12" ht="60">
      <c r="A41" s="28" t="s">
        <v>1000</v>
      </c>
      <c r="B41" s="28" t="s">
        <v>1001</v>
      </c>
      <c r="C41" s="28" t="s">
        <v>1002</v>
      </c>
      <c r="D41" s="73" t="s">
        <v>1003</v>
      </c>
      <c r="E41" s="72" t="s">
        <v>962</v>
      </c>
      <c r="F41" s="72">
        <v>2021</v>
      </c>
      <c r="G41" s="28" t="s">
        <v>1004</v>
      </c>
    </row>
    <row r="42" spans="1:12" ht="24" customHeight="1">
      <c r="A42" s="392" t="s">
        <v>1005</v>
      </c>
      <c r="B42" s="392"/>
      <c r="C42" s="392"/>
      <c r="D42" s="392"/>
      <c r="E42" s="392"/>
      <c r="F42" s="392"/>
      <c r="G42" s="392"/>
      <c r="H42" s="392"/>
    </row>
    <row r="45" spans="1:12" s="71" customFormat="1" ht="30" customHeight="1" thickBot="1">
      <c r="A45" s="377" t="s">
        <v>1006</v>
      </c>
      <c r="B45" s="378"/>
      <c r="C45" s="378"/>
      <c r="D45" s="378"/>
      <c r="E45" s="378"/>
      <c r="F45" s="378"/>
      <c r="G45" s="378"/>
      <c r="H45" s="378"/>
      <c r="I45" s="378"/>
      <c r="J45" s="378"/>
      <c r="K45" s="378"/>
      <c r="L45" s="378"/>
    </row>
    <row r="46" spans="1:12" s="15" customFormat="1">
      <c r="A46" s="15" t="s">
        <v>1007</v>
      </c>
    </row>
    <row r="48" spans="1:12" ht="24.75" customHeight="1">
      <c r="A48" s="54" t="s">
        <v>317</v>
      </c>
      <c r="B48" s="54" t="s">
        <v>1008</v>
      </c>
    </row>
    <row r="49" spans="1:12" ht="60">
      <c r="A49" s="28" t="s">
        <v>1009</v>
      </c>
      <c r="B49" s="230" t="s">
        <v>1176</v>
      </c>
    </row>
    <row r="50" spans="1:12" ht="54" customHeight="1">
      <c r="A50" s="28" t="s">
        <v>1010</v>
      </c>
      <c r="B50" s="230" t="s">
        <v>1011</v>
      </c>
    </row>
    <row r="51" spans="1:12" ht="96">
      <c r="A51" s="28" t="s">
        <v>1012</v>
      </c>
      <c r="B51" s="131" t="s">
        <v>1013</v>
      </c>
    </row>
    <row r="52" spans="1:12" ht="72">
      <c r="A52" s="28" t="s">
        <v>1014</v>
      </c>
      <c r="B52" s="249" t="s">
        <v>1015</v>
      </c>
    </row>
    <row r="53" spans="1:12" ht="36">
      <c r="A53" s="28" t="s">
        <v>1016</v>
      </c>
      <c r="B53" s="230" t="s">
        <v>1017</v>
      </c>
    </row>
    <row r="54" spans="1:12" ht="24.75" customHeight="1">
      <c r="A54" s="383" t="s">
        <v>1018</v>
      </c>
      <c r="B54" s="383"/>
    </row>
    <row r="55" spans="1:12" ht="30" customHeight="1">
      <c r="A55" s="421"/>
      <c r="B55" s="421"/>
    </row>
    <row r="56" spans="1:12" s="71" customFormat="1" ht="30" customHeight="1" thickBot="1">
      <c r="A56" s="377" t="s">
        <v>1019</v>
      </c>
      <c r="B56" s="378"/>
      <c r="C56" s="378"/>
      <c r="D56" s="378"/>
      <c r="E56" s="378"/>
      <c r="F56" s="378"/>
      <c r="G56" s="378"/>
      <c r="H56" s="378"/>
      <c r="I56" s="378"/>
      <c r="J56" s="378"/>
      <c r="K56" s="378"/>
      <c r="L56" s="378"/>
    </row>
    <row r="57" spans="1:12" s="15" customFormat="1">
      <c r="A57" s="15" t="s">
        <v>1020</v>
      </c>
    </row>
    <row r="59" spans="1:12" ht="24">
      <c r="A59" s="297" t="s">
        <v>1021</v>
      </c>
      <c r="B59" s="297" t="s">
        <v>1022</v>
      </c>
      <c r="C59" s="297" t="s">
        <v>1023</v>
      </c>
      <c r="D59" s="297" t="s">
        <v>1024</v>
      </c>
      <c r="E59" s="297" t="s">
        <v>1025</v>
      </c>
      <c r="F59" s="297" t="s">
        <v>1026</v>
      </c>
    </row>
    <row r="60" spans="1:12">
      <c r="A60" s="299" t="s">
        <v>1027</v>
      </c>
      <c r="B60" s="299" t="s">
        <v>1028</v>
      </c>
      <c r="C60" s="299" t="s">
        <v>1029</v>
      </c>
      <c r="D60" s="299" t="s">
        <v>1030</v>
      </c>
      <c r="E60" s="370">
        <v>0.02</v>
      </c>
      <c r="F60" s="371">
        <v>0.43</v>
      </c>
    </row>
    <row r="61" spans="1:12" ht="62.25" customHeight="1">
      <c r="A61" s="383" t="s">
        <v>1031</v>
      </c>
      <c r="B61" s="383"/>
      <c r="C61" s="383"/>
      <c r="D61" s="383"/>
      <c r="E61" s="383"/>
      <c r="F61" s="383"/>
    </row>
    <row r="62" spans="1:12">
      <c r="A62" s="383"/>
      <c r="B62" s="383"/>
      <c r="C62" s="383"/>
      <c r="D62" s="383"/>
      <c r="E62" s="383"/>
      <c r="F62" s="383"/>
    </row>
    <row r="63" spans="1:12">
      <c r="A63" s="383"/>
      <c r="B63" s="383"/>
      <c r="C63" s="383"/>
      <c r="D63" s="383"/>
      <c r="E63" s="383"/>
      <c r="F63" s="383"/>
    </row>
  </sheetData>
  <mergeCells count="17">
    <mergeCell ref="A63:F63"/>
    <mergeCell ref="A54:B54"/>
    <mergeCell ref="A55:B55"/>
    <mergeCell ref="A56:L56"/>
    <mergeCell ref="A61:F61"/>
    <mergeCell ref="A62:F62"/>
    <mergeCell ref="A42:H42"/>
    <mergeCell ref="A45:L45"/>
    <mergeCell ref="A11:L11"/>
    <mergeCell ref="A25:B25"/>
    <mergeCell ref="A26:B26"/>
    <mergeCell ref="A28:L28"/>
    <mergeCell ref="A1:L1"/>
    <mergeCell ref="B4:B5"/>
    <mergeCell ref="C4:K4"/>
    <mergeCell ref="L4:L5"/>
    <mergeCell ref="A8:L8"/>
  </mergeCells>
  <pageMargins left="0.7" right="0.7" top="0.75" bottom="0.75" header="0.3" footer="0.3"/>
  <pageSetup orientation="portrait"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69B3-A6F7-43A4-94BB-89D1EDCCDF6B}">
  <dimension ref="A1:L94"/>
  <sheetViews>
    <sheetView showGridLines="0" zoomScale="80" zoomScaleNormal="80" workbookViewId="0">
      <selection activeCell="I25" sqref="I25"/>
    </sheetView>
  </sheetViews>
  <sheetFormatPr baseColWidth="10" defaultColWidth="11.42578125" defaultRowHeight="15"/>
  <cols>
    <col min="1" max="1" width="65" style="10" customWidth="1"/>
    <col min="2" max="2" width="37.140625" style="10" customWidth="1"/>
    <col min="3" max="3" width="30.140625" style="10" customWidth="1"/>
    <col min="4" max="4" width="52.42578125" style="10" bestFit="1" customWidth="1"/>
    <col min="5" max="5" width="24.42578125" style="10" customWidth="1"/>
    <col min="6" max="6" width="20" style="10" customWidth="1"/>
    <col min="7" max="7" width="19.140625" style="10" customWidth="1"/>
    <col min="8" max="8" width="18.28515625" style="10" customWidth="1"/>
    <col min="9" max="9" width="22.85546875" style="10" customWidth="1"/>
    <col min="10" max="16384" width="11.42578125" style="10"/>
  </cols>
  <sheetData>
    <row r="1" spans="1:12" s="71" customFormat="1" ht="30" customHeight="1" thickBot="1">
      <c r="A1" s="377" t="s">
        <v>1172</v>
      </c>
      <c r="B1" s="378"/>
      <c r="C1" s="378"/>
      <c r="D1" s="378"/>
      <c r="E1" s="378"/>
      <c r="F1" s="378"/>
      <c r="G1" s="378"/>
      <c r="H1" s="378"/>
      <c r="I1" s="378"/>
      <c r="J1" s="378"/>
      <c r="K1" s="378"/>
      <c r="L1" s="378"/>
    </row>
    <row r="2" spans="1:12" s="15" customFormat="1">
      <c r="A2" s="15" t="s">
        <v>1032</v>
      </c>
    </row>
    <row r="4" spans="1:12" s="64" customFormat="1">
      <c r="A4" s="364" t="s">
        <v>384</v>
      </c>
      <c r="B4" s="364" t="s">
        <v>1033</v>
      </c>
      <c r="C4" s="364" t="s">
        <v>1034</v>
      </c>
    </row>
    <row r="5" spans="1:12">
      <c r="A5" s="298" t="s">
        <v>244</v>
      </c>
      <c r="B5" s="366">
        <v>0.36</v>
      </c>
      <c r="C5" s="367">
        <v>0.4</v>
      </c>
    </row>
    <row r="6" spans="1:12">
      <c r="A6" s="298" t="s">
        <v>254</v>
      </c>
      <c r="B6" s="366">
        <v>1.06</v>
      </c>
      <c r="C6" s="367">
        <v>1.3</v>
      </c>
    </row>
    <row r="7" spans="1:12" s="12" customFormat="1" ht="12">
      <c r="A7" s="301" t="s">
        <v>416</v>
      </c>
      <c r="B7" s="368">
        <f>SUBTOTAL(109,Tabla12[2020])</f>
        <v>1.42</v>
      </c>
      <c r="C7" s="369">
        <f>SUBTOTAL(109,Tabla12[2021])</f>
        <v>1.7000000000000002</v>
      </c>
    </row>
    <row r="9" spans="1:12" ht="20.25" thickBot="1">
      <c r="A9" s="377" t="s">
        <v>1173</v>
      </c>
      <c r="B9" s="378"/>
      <c r="C9" s="378"/>
      <c r="D9" s="378"/>
      <c r="E9" s="378"/>
      <c r="F9" s="378"/>
      <c r="G9" s="378"/>
      <c r="H9" s="378"/>
      <c r="I9" s="378"/>
      <c r="J9" s="378"/>
      <c r="K9" s="378"/>
      <c r="L9" s="378"/>
    </row>
    <row r="10" spans="1:12">
      <c r="A10" s="251" t="s">
        <v>1035</v>
      </c>
    </row>
    <row r="11" spans="1:12">
      <c r="A11" s="145"/>
    </row>
    <row r="12" spans="1:12" s="64" customFormat="1">
      <c r="A12" s="265" t="s">
        <v>1036</v>
      </c>
      <c r="B12" s="266" t="s">
        <v>1037</v>
      </c>
      <c r="C12" s="266" t="s">
        <v>1038</v>
      </c>
      <c r="D12" s="266" t="s">
        <v>1039</v>
      </c>
    </row>
    <row r="13" spans="1:12">
      <c r="A13" s="464">
        <v>2021</v>
      </c>
      <c r="B13" s="465"/>
      <c r="C13" s="465"/>
      <c r="D13" s="466"/>
    </row>
    <row r="14" spans="1:12" s="12" customFormat="1" ht="12">
      <c r="A14" s="252" t="s">
        <v>1040</v>
      </c>
      <c r="B14" s="121">
        <v>1937071.03</v>
      </c>
      <c r="C14" s="121">
        <v>11513037</v>
      </c>
      <c r="D14" s="253">
        <f>SUM(B14:C14)</f>
        <v>13450108.029999999</v>
      </c>
    </row>
    <row r="15" spans="1:12" s="12" customFormat="1" ht="12">
      <c r="A15" s="252" t="s">
        <v>1041</v>
      </c>
      <c r="B15" s="121">
        <v>10.6</v>
      </c>
      <c r="C15" s="121">
        <v>63</v>
      </c>
      <c r="D15" s="253">
        <f t="shared" ref="D15:D18" si="0">SUM(B15:C15)</f>
        <v>73.599999999999994</v>
      </c>
    </row>
    <row r="16" spans="1:12" s="12" customFormat="1" ht="12">
      <c r="A16" s="252" t="s">
        <v>1042</v>
      </c>
      <c r="B16" s="121">
        <v>0</v>
      </c>
      <c r="C16" s="121">
        <v>0</v>
      </c>
      <c r="D16" s="253">
        <f t="shared" si="0"/>
        <v>0</v>
      </c>
    </row>
    <row r="17" spans="1:12" s="12" customFormat="1" ht="12">
      <c r="A17" s="252" t="s">
        <v>1043</v>
      </c>
      <c r="B17" s="121">
        <v>419279.44</v>
      </c>
      <c r="C17" s="121">
        <v>2491999.35</v>
      </c>
      <c r="D17" s="253">
        <f t="shared" si="0"/>
        <v>2911278.79</v>
      </c>
    </row>
    <row r="18" spans="1:12" s="12" customFormat="1" ht="12">
      <c r="A18" s="252" t="s">
        <v>1044</v>
      </c>
      <c r="B18" s="254">
        <v>0</v>
      </c>
      <c r="C18" s="254">
        <v>0</v>
      </c>
      <c r="D18" s="255">
        <f t="shared" si="0"/>
        <v>0</v>
      </c>
    </row>
    <row r="19" spans="1:12">
      <c r="A19" s="464">
        <v>2020</v>
      </c>
      <c r="B19" s="465"/>
      <c r="C19" s="465"/>
      <c r="D19" s="466"/>
    </row>
    <row r="20" spans="1:12" s="12" customFormat="1" ht="12">
      <c r="A20" s="252" t="s">
        <v>1040</v>
      </c>
      <c r="B20" s="256">
        <v>1709675</v>
      </c>
      <c r="C20" s="256">
        <v>12498985</v>
      </c>
      <c r="D20" s="257">
        <f>SUM(B20:C20)</f>
        <v>14208660</v>
      </c>
    </row>
    <row r="21" spans="1:12" s="12" customFormat="1" ht="12">
      <c r="A21" s="252" t="s">
        <v>1041</v>
      </c>
      <c r="B21" s="258" t="s">
        <v>1045</v>
      </c>
      <c r="C21" s="258" t="s">
        <v>1045</v>
      </c>
      <c r="D21" s="257">
        <f t="shared" ref="D21:D24" si="1">SUM(B21:C21)</f>
        <v>0</v>
      </c>
    </row>
    <row r="22" spans="1:12" s="12" customFormat="1" ht="12">
      <c r="A22" s="252" t="s">
        <v>1042</v>
      </c>
      <c r="B22" s="258" t="s">
        <v>1045</v>
      </c>
      <c r="C22" s="258" t="s">
        <v>1045</v>
      </c>
      <c r="D22" s="257">
        <f t="shared" si="1"/>
        <v>0</v>
      </c>
    </row>
    <row r="23" spans="1:12" s="12" customFormat="1" ht="12">
      <c r="A23" s="252" t="s">
        <v>1043</v>
      </c>
      <c r="B23" s="258" t="s">
        <v>1045</v>
      </c>
      <c r="C23" s="258" t="s">
        <v>1045</v>
      </c>
      <c r="D23" s="257">
        <f t="shared" si="1"/>
        <v>0</v>
      </c>
    </row>
    <row r="24" spans="1:12" s="12" customFormat="1" ht="12">
      <c r="A24" s="252" t="s">
        <v>1044</v>
      </c>
      <c r="B24" s="259">
        <v>0</v>
      </c>
      <c r="C24" s="259">
        <v>0</v>
      </c>
      <c r="D24" s="257">
        <f t="shared" si="1"/>
        <v>0</v>
      </c>
    </row>
    <row r="25" spans="1:12" ht="30" customHeight="1">
      <c r="A25" s="467" t="s">
        <v>1046</v>
      </c>
      <c r="B25" s="467"/>
      <c r="C25" s="467"/>
      <c r="D25" s="467"/>
      <c r="E25" s="47"/>
      <c r="F25" s="47"/>
    </row>
    <row r="28" spans="1:12" ht="20.25" thickBot="1">
      <c r="A28" s="377" t="s">
        <v>1047</v>
      </c>
      <c r="B28" s="378"/>
      <c r="C28" s="378"/>
      <c r="D28" s="378"/>
      <c r="E28" s="378"/>
      <c r="F28" s="378"/>
      <c r="G28" s="378"/>
      <c r="H28" s="378"/>
      <c r="I28" s="378"/>
      <c r="J28" s="378"/>
      <c r="K28" s="378"/>
      <c r="L28" s="378"/>
    </row>
    <row r="29" spans="1:12">
      <c r="A29" s="251" t="s">
        <v>1048</v>
      </c>
    </row>
    <row r="31" spans="1:12">
      <c r="A31" s="357" t="s">
        <v>1049</v>
      </c>
      <c r="B31" s="357" t="s">
        <v>72</v>
      </c>
      <c r="C31" s="357" t="s">
        <v>74</v>
      </c>
      <c r="D31" s="357" t="s">
        <v>76</v>
      </c>
    </row>
    <row r="32" spans="1:12">
      <c r="A32" s="300" t="s">
        <v>1050</v>
      </c>
      <c r="B32" s="365">
        <f>D42+D58</f>
        <v>619.66</v>
      </c>
      <c r="C32" s="295">
        <f>D42</f>
        <v>95.16</v>
      </c>
      <c r="D32" s="295">
        <f>D58</f>
        <v>524.5</v>
      </c>
    </row>
    <row r="33" spans="1:12">
      <c r="A33" s="300" t="s">
        <v>1051</v>
      </c>
      <c r="B33" s="295">
        <f>D46+D63</f>
        <v>634.88</v>
      </c>
      <c r="C33" s="295">
        <f>D46</f>
        <v>370.28</v>
      </c>
      <c r="D33" s="365">
        <f>D63</f>
        <v>264.60000000000002</v>
      </c>
    </row>
    <row r="34" spans="1:12">
      <c r="A34" s="275" t="s">
        <v>416</v>
      </c>
      <c r="B34" s="260">
        <f>SUBTOTAL(109,Tabla14[Waste generated])</f>
        <v>1254.54</v>
      </c>
      <c r="C34" s="260">
        <f>SUBTOTAL(109,Tabla14[Waste diverted from disposal])</f>
        <v>465.43999999999994</v>
      </c>
      <c r="D34" s="260">
        <f>SUBTOTAL(109,Tabla14[Waste directed to disposal])</f>
        <v>789.1</v>
      </c>
    </row>
    <row r="35" spans="1:12" ht="24" customHeight="1">
      <c r="A35" s="393" t="s">
        <v>1052</v>
      </c>
      <c r="B35" s="393"/>
      <c r="C35" s="393"/>
      <c r="D35" s="393"/>
      <c r="E35" s="47"/>
      <c r="F35" s="47"/>
    </row>
    <row r="36" spans="1:12">
      <c r="A36" s="261"/>
      <c r="B36" s="261"/>
      <c r="C36" s="261"/>
      <c r="D36" s="261"/>
      <c r="E36" s="261"/>
      <c r="F36" s="261"/>
    </row>
    <row r="38" spans="1:12" ht="20.25" thickBot="1">
      <c r="A38" s="377" t="s">
        <v>1053</v>
      </c>
      <c r="B38" s="378"/>
      <c r="C38" s="378"/>
      <c r="D38" s="378"/>
      <c r="E38" s="378"/>
      <c r="F38" s="378"/>
      <c r="G38" s="378"/>
      <c r="H38" s="378"/>
      <c r="I38" s="378"/>
      <c r="J38" s="378"/>
      <c r="K38" s="378"/>
      <c r="L38" s="378"/>
    </row>
    <row r="39" spans="1:12" s="15" customFormat="1">
      <c r="A39" s="15" t="s">
        <v>1054</v>
      </c>
    </row>
    <row r="41" spans="1:12" s="64" customFormat="1">
      <c r="A41" s="289" t="s">
        <v>1055</v>
      </c>
      <c r="B41" s="290" t="s">
        <v>1056</v>
      </c>
      <c r="C41" s="290" t="s">
        <v>1057</v>
      </c>
      <c r="D41" s="290" t="s">
        <v>416</v>
      </c>
    </row>
    <row r="42" spans="1:12">
      <c r="A42" s="291" t="s">
        <v>1058</v>
      </c>
      <c r="B42" s="291"/>
      <c r="C42" s="291"/>
      <c r="D42" s="292">
        <f>SUM(D43:D45)</f>
        <v>95.16</v>
      </c>
    </row>
    <row r="43" spans="1:12">
      <c r="A43" s="293" t="s">
        <v>1059</v>
      </c>
      <c r="B43" s="294">
        <v>0</v>
      </c>
      <c r="C43" s="294">
        <v>0</v>
      </c>
      <c r="D43" s="295">
        <v>0</v>
      </c>
    </row>
    <row r="44" spans="1:12">
      <c r="A44" s="293" t="s">
        <v>1060</v>
      </c>
      <c r="B44" s="294">
        <v>0</v>
      </c>
      <c r="C44" s="295">
        <v>95.16</v>
      </c>
      <c r="D44" s="295">
        <f>Tabla15[[#This Row],[Onsite]]+Tabla15[[#This Row],[Offsite]]</f>
        <v>95.16</v>
      </c>
    </row>
    <row r="45" spans="1:12">
      <c r="A45" s="293" t="s">
        <v>1061</v>
      </c>
      <c r="B45" s="294">
        <v>0</v>
      </c>
      <c r="C45" s="294">
        <v>0</v>
      </c>
      <c r="D45" s="295">
        <v>0</v>
      </c>
    </row>
    <row r="46" spans="1:12" ht="14.25" customHeight="1">
      <c r="A46" s="291" t="s">
        <v>1062</v>
      </c>
      <c r="B46" s="291"/>
      <c r="C46" s="291"/>
      <c r="D46" s="292">
        <f>SUM(D47:D49)</f>
        <v>370.28</v>
      </c>
    </row>
    <row r="47" spans="1:12">
      <c r="A47" s="293" t="s">
        <v>1059</v>
      </c>
      <c r="B47" s="294">
        <v>0</v>
      </c>
      <c r="C47" s="294">
        <v>0</v>
      </c>
      <c r="D47" s="295">
        <f>SUM(Tabla15[[#This Row],[Onsite]:[Offsite]])</f>
        <v>0</v>
      </c>
    </row>
    <row r="48" spans="1:12">
      <c r="A48" s="293" t="s">
        <v>1060</v>
      </c>
      <c r="B48" s="294">
        <v>0</v>
      </c>
      <c r="C48" s="295">
        <v>370.28</v>
      </c>
      <c r="D48" s="295">
        <f>SUM(Tabla15[[#This Row],[Onsite]:[Offsite]])</f>
        <v>370.28</v>
      </c>
    </row>
    <row r="49" spans="1:12">
      <c r="A49" s="293" t="s">
        <v>1061</v>
      </c>
      <c r="B49" s="294">
        <v>0</v>
      </c>
      <c r="C49" s="294">
        <v>0</v>
      </c>
      <c r="D49" s="295">
        <f>SUM(Tabla15[[#This Row],[Onsite]:[Offsite]])</f>
        <v>0</v>
      </c>
    </row>
    <row r="50" spans="1:12">
      <c r="A50" s="291" t="s">
        <v>1063</v>
      </c>
      <c r="B50" s="291"/>
      <c r="C50" s="291"/>
      <c r="D50" s="296">
        <f>D42+D46</f>
        <v>465.43999999999994</v>
      </c>
    </row>
    <row r="51" spans="1:12" ht="24" customHeight="1">
      <c r="A51" s="393" t="s">
        <v>1052</v>
      </c>
      <c r="B51" s="393"/>
      <c r="C51" s="393"/>
      <c r="D51" s="393"/>
      <c r="E51" s="47"/>
      <c r="F51" s="47"/>
    </row>
    <row r="54" spans="1:12" ht="20.25" thickBot="1">
      <c r="A54" s="377" t="s">
        <v>1064</v>
      </c>
      <c r="B54" s="378"/>
      <c r="C54" s="378"/>
      <c r="D54" s="378"/>
      <c r="E54" s="378"/>
      <c r="F54" s="378"/>
      <c r="G54" s="378"/>
      <c r="H54" s="378"/>
      <c r="I54" s="378"/>
      <c r="J54" s="378"/>
      <c r="K54" s="378"/>
      <c r="L54" s="378"/>
    </row>
    <row r="55" spans="1:12" s="15" customFormat="1">
      <c r="A55" s="15" t="s">
        <v>1065</v>
      </c>
    </row>
    <row r="57" spans="1:12">
      <c r="A57" s="357" t="s">
        <v>1066</v>
      </c>
      <c r="B57" s="290" t="s">
        <v>1056</v>
      </c>
      <c r="C57" s="290" t="s">
        <v>1057</v>
      </c>
      <c r="D57" s="290" t="s">
        <v>416</v>
      </c>
    </row>
    <row r="58" spans="1:12">
      <c r="A58" s="291" t="s">
        <v>1058</v>
      </c>
      <c r="B58" s="291"/>
      <c r="C58" s="291"/>
      <c r="D58" s="296">
        <f>D59+D60+D61+D62</f>
        <v>524.5</v>
      </c>
    </row>
    <row r="59" spans="1:12">
      <c r="A59" s="293" t="s">
        <v>1067</v>
      </c>
      <c r="B59" s="295">
        <v>0</v>
      </c>
      <c r="C59" s="295">
        <v>0</v>
      </c>
      <c r="D59" s="358">
        <f>SUM(Tabla16[[#This Row],[Onsite]:[Offsite]])</f>
        <v>0</v>
      </c>
    </row>
    <row r="60" spans="1:12">
      <c r="A60" s="293" t="s">
        <v>1068</v>
      </c>
      <c r="B60" s="295">
        <v>0</v>
      </c>
      <c r="C60" s="295">
        <v>0</v>
      </c>
      <c r="D60" s="358">
        <f>SUM(Tabla16[[#This Row],[Onsite]:[Offsite]])</f>
        <v>0</v>
      </c>
    </row>
    <row r="61" spans="1:12">
      <c r="A61" s="293" t="s">
        <v>1069</v>
      </c>
      <c r="B61" s="295">
        <v>0</v>
      </c>
      <c r="C61" s="295">
        <v>0</v>
      </c>
      <c r="D61" s="358">
        <f>SUM(Tabla16[[#This Row],[Onsite]:[Offsite]])</f>
        <v>0</v>
      </c>
    </row>
    <row r="62" spans="1:12">
      <c r="A62" s="293" t="s">
        <v>1070</v>
      </c>
      <c r="B62" s="295">
        <v>0</v>
      </c>
      <c r="C62" s="295">
        <v>524.5</v>
      </c>
      <c r="D62" s="358">
        <f>Tabla16[[#This Row],[Offsite]]</f>
        <v>524.5</v>
      </c>
    </row>
    <row r="63" spans="1:12">
      <c r="A63" s="291" t="s">
        <v>1062</v>
      </c>
      <c r="B63" s="359"/>
      <c r="C63" s="359"/>
      <c r="D63" s="360">
        <f>SUM(D64:D67)</f>
        <v>264.60000000000002</v>
      </c>
    </row>
    <row r="64" spans="1:12">
      <c r="A64" s="293" t="s">
        <v>1067</v>
      </c>
      <c r="B64" s="295">
        <v>0</v>
      </c>
      <c r="C64" s="295">
        <v>0</v>
      </c>
      <c r="D64" s="358">
        <f>SUM(Tabla16[[#This Row],[Onsite]:[Offsite]])</f>
        <v>0</v>
      </c>
    </row>
    <row r="65" spans="1:12">
      <c r="A65" s="293" t="s">
        <v>1068</v>
      </c>
      <c r="B65" s="295">
        <v>0</v>
      </c>
      <c r="C65" s="295">
        <v>0</v>
      </c>
      <c r="D65" s="358">
        <f>SUM(Tabla16[[#This Row],[Onsite]:[Offsite]])</f>
        <v>0</v>
      </c>
    </row>
    <row r="66" spans="1:12">
      <c r="A66" s="293" t="s">
        <v>1069</v>
      </c>
      <c r="B66" s="295">
        <v>264.60000000000002</v>
      </c>
      <c r="C66" s="295">
        <v>0</v>
      </c>
      <c r="D66" s="358">
        <f>SUM(Tabla16[[#This Row],[Onsite]:[Offsite]])</f>
        <v>264.60000000000002</v>
      </c>
    </row>
    <row r="67" spans="1:12">
      <c r="A67" s="293" t="s">
        <v>1070</v>
      </c>
      <c r="B67" s="295">
        <v>0</v>
      </c>
      <c r="C67" s="295">
        <v>0</v>
      </c>
      <c r="D67" s="358">
        <f>SUM(Tabla16[[#This Row],[Onsite]:[Offsite]])</f>
        <v>0</v>
      </c>
    </row>
    <row r="68" spans="1:12">
      <c r="A68" s="361" t="s">
        <v>416</v>
      </c>
      <c r="B68" s="362"/>
      <c r="C68" s="362"/>
      <c r="D68" s="363">
        <f>D58+D63</f>
        <v>789.1</v>
      </c>
    </row>
    <row r="69" spans="1:12" ht="24" customHeight="1">
      <c r="A69" s="393" t="s">
        <v>1052</v>
      </c>
      <c r="B69" s="393"/>
      <c r="C69" s="393"/>
      <c r="D69" s="393"/>
      <c r="E69" s="47"/>
      <c r="F69" s="47"/>
    </row>
    <row r="71" spans="1:12">
      <c r="D71" s="262"/>
    </row>
    <row r="72" spans="1:12" s="71" customFormat="1" ht="30" customHeight="1" thickBot="1">
      <c r="A72" s="377" t="s">
        <v>1071</v>
      </c>
      <c r="B72" s="378"/>
      <c r="C72" s="378"/>
      <c r="D72" s="378"/>
      <c r="E72" s="378"/>
      <c r="F72" s="378"/>
      <c r="G72" s="378"/>
      <c r="H72" s="378"/>
      <c r="I72" s="378"/>
      <c r="J72" s="378"/>
      <c r="K72" s="378"/>
      <c r="L72" s="378"/>
    </row>
    <row r="73" spans="1:12" s="15" customFormat="1">
      <c r="A73" s="15" t="s">
        <v>1072</v>
      </c>
    </row>
    <row r="75" spans="1:12" s="64" customFormat="1">
      <c r="A75" s="364" t="s">
        <v>1073</v>
      </c>
      <c r="B75" s="364" t="s">
        <v>1074</v>
      </c>
      <c r="C75" s="364" t="s">
        <v>1075</v>
      </c>
      <c r="D75" s="289" t="s">
        <v>1076</v>
      </c>
      <c r="E75" s="289" t="s">
        <v>1077</v>
      </c>
      <c r="F75" s="364" t="s">
        <v>1078</v>
      </c>
    </row>
    <row r="76" spans="1:12" s="250" customFormat="1">
      <c r="A76" s="314">
        <v>340</v>
      </c>
      <c r="B76" s="314">
        <v>0</v>
      </c>
      <c r="C76" s="314">
        <v>95.16</v>
      </c>
      <c r="D76" s="314">
        <v>26.85</v>
      </c>
      <c r="E76" s="314">
        <v>9.56</v>
      </c>
      <c r="F76" s="314">
        <v>788.43</v>
      </c>
    </row>
    <row r="77" spans="1:12" ht="24" customHeight="1">
      <c r="A77" s="393" t="s">
        <v>1052</v>
      </c>
      <c r="B77" s="393"/>
      <c r="C77" s="393"/>
      <c r="D77" s="393"/>
      <c r="E77" s="47"/>
      <c r="F77" s="47"/>
    </row>
    <row r="80" spans="1:12" s="71" customFormat="1" ht="30" customHeight="1" thickBot="1">
      <c r="A80" s="377" t="s">
        <v>1079</v>
      </c>
      <c r="B80" s="378"/>
      <c r="C80" s="378"/>
      <c r="D80" s="378"/>
      <c r="E80" s="378"/>
      <c r="F80" s="378"/>
      <c r="G80" s="378"/>
      <c r="H80" s="378"/>
      <c r="I80" s="378"/>
      <c r="J80" s="378"/>
      <c r="K80" s="378"/>
      <c r="L80" s="378"/>
    </row>
    <row r="81" spans="1:12" s="15" customFormat="1">
      <c r="A81" s="15" t="s">
        <v>1080</v>
      </c>
    </row>
    <row r="82" spans="1:12" s="71" customFormat="1" ht="19.5">
      <c r="A82" s="263"/>
      <c r="B82" s="264"/>
      <c r="C82" s="264"/>
      <c r="D82" s="264"/>
      <c r="E82" s="264"/>
      <c r="F82" s="264"/>
      <c r="G82" s="264"/>
      <c r="H82" s="264"/>
      <c r="I82" s="264"/>
      <c r="J82" s="264"/>
      <c r="K82" s="264"/>
      <c r="L82" s="264"/>
    </row>
    <row r="83" spans="1:12" s="64" customFormat="1" ht="42" customHeight="1">
      <c r="A83" s="290" t="s">
        <v>1081</v>
      </c>
      <c r="B83" s="290" t="s">
        <v>1082</v>
      </c>
      <c r="C83" s="290" t="s">
        <v>1083</v>
      </c>
      <c r="D83" s="290" t="s">
        <v>1084</v>
      </c>
      <c r="E83" s="290" t="s">
        <v>1085</v>
      </c>
      <c r="F83" s="290" t="s">
        <v>1086</v>
      </c>
      <c r="G83" s="290" t="s">
        <v>1087</v>
      </c>
      <c r="H83" s="290" t="s">
        <v>1088</v>
      </c>
      <c r="I83" s="290" t="s">
        <v>1089</v>
      </c>
      <c r="J83" s="290" t="s">
        <v>1090</v>
      </c>
      <c r="K83" s="290" t="s">
        <v>1091</v>
      </c>
      <c r="L83" s="290" t="s">
        <v>1092</v>
      </c>
    </row>
    <row r="84" spans="1:12">
      <c r="A84" s="298" t="s">
        <v>1093</v>
      </c>
      <c r="B84" s="298" t="s">
        <v>1094</v>
      </c>
      <c r="C84" s="298" t="s">
        <v>1095</v>
      </c>
      <c r="D84" s="298" t="s">
        <v>1096</v>
      </c>
      <c r="E84" s="298" t="s">
        <v>1097</v>
      </c>
      <c r="F84" s="303" t="s">
        <v>1098</v>
      </c>
      <c r="G84" s="303" t="s">
        <v>1099</v>
      </c>
      <c r="H84" s="298" t="s">
        <v>1100</v>
      </c>
      <c r="I84" s="304">
        <v>44501</v>
      </c>
      <c r="J84" s="298" t="s">
        <v>445</v>
      </c>
      <c r="K84" s="298" t="s">
        <v>445</v>
      </c>
      <c r="L84" s="298" t="s">
        <v>389</v>
      </c>
    </row>
    <row r="85" spans="1:12">
      <c r="A85" s="298" t="s">
        <v>1101</v>
      </c>
      <c r="B85" s="298" t="s">
        <v>1102</v>
      </c>
      <c r="C85" s="298" t="s">
        <v>1095</v>
      </c>
      <c r="D85" s="298" t="s">
        <v>1096</v>
      </c>
      <c r="E85" s="298" t="s">
        <v>1097</v>
      </c>
      <c r="F85" s="305">
        <v>4500000</v>
      </c>
      <c r="G85" s="305">
        <v>3408245</v>
      </c>
      <c r="H85" s="298" t="s">
        <v>1100</v>
      </c>
      <c r="I85" s="304" t="s">
        <v>1103</v>
      </c>
      <c r="J85" s="298" t="s">
        <v>445</v>
      </c>
      <c r="K85" s="298" t="s">
        <v>445</v>
      </c>
      <c r="L85" s="298" t="s">
        <v>389</v>
      </c>
    </row>
    <row r="88" spans="1:12" s="71" customFormat="1" ht="30" customHeight="1" thickBot="1">
      <c r="A88" s="377" t="s">
        <v>1104</v>
      </c>
      <c r="B88" s="378"/>
      <c r="C88" s="378"/>
      <c r="D88" s="378"/>
      <c r="E88" s="378"/>
      <c r="F88" s="378"/>
      <c r="G88" s="378"/>
      <c r="H88" s="378"/>
      <c r="I88" s="378"/>
      <c r="J88" s="378"/>
      <c r="K88" s="378"/>
      <c r="L88" s="378"/>
    </row>
    <row r="89" spans="1:12" s="15" customFormat="1">
      <c r="A89" s="15" t="s">
        <v>1105</v>
      </c>
    </row>
    <row r="91" spans="1:12" ht="21" customHeight="1">
      <c r="A91" s="297" t="s">
        <v>384</v>
      </c>
      <c r="B91" s="297" t="s">
        <v>1106</v>
      </c>
      <c r="C91" s="297" t="s">
        <v>1107</v>
      </c>
      <c r="D91" s="297" t="s">
        <v>1108</v>
      </c>
      <c r="E91" s="297" t="s">
        <v>1109</v>
      </c>
    </row>
    <row r="92" spans="1:12" s="12" customFormat="1" ht="12">
      <c r="A92" s="298" t="s">
        <v>244</v>
      </c>
      <c r="B92" s="299">
        <v>0</v>
      </c>
      <c r="C92" s="299">
        <v>0</v>
      </c>
      <c r="D92" s="299">
        <v>3</v>
      </c>
      <c r="E92" s="299">
        <v>3</v>
      </c>
    </row>
    <row r="93" spans="1:12" s="12" customFormat="1" ht="12">
      <c r="A93" s="300" t="s">
        <v>254</v>
      </c>
      <c r="B93" s="299">
        <v>0</v>
      </c>
      <c r="C93" s="299">
        <v>0</v>
      </c>
      <c r="D93" s="299">
        <v>1</v>
      </c>
      <c r="E93" s="299">
        <v>1</v>
      </c>
    </row>
    <row r="94" spans="1:12" s="12" customFormat="1" ht="12">
      <c r="A94" s="301" t="s">
        <v>416</v>
      </c>
      <c r="B94" s="302">
        <f>SUBTOTAL(109,Tabla19['# TSF with High Hazard Potential])</f>
        <v>0</v>
      </c>
      <c r="C94" s="302">
        <f>SUBTOTAL(109,Tabla19['# TSF with Significant Hazard Potential])</f>
        <v>0</v>
      </c>
      <c r="D94" s="302">
        <f>SUBTOTAL(109,Tabla19['# TSF with Low Hazard Potential])</f>
        <v>4</v>
      </c>
      <c r="E94" s="302">
        <f>SUBTOTAL(109,Tabla19[Total of Tailing Impoundments])</f>
        <v>4</v>
      </c>
    </row>
  </sheetData>
  <mergeCells count="15">
    <mergeCell ref="A88:L88"/>
    <mergeCell ref="A28:L28"/>
    <mergeCell ref="A38:L38"/>
    <mergeCell ref="A54:L54"/>
    <mergeCell ref="A35:D35"/>
    <mergeCell ref="A51:D51"/>
    <mergeCell ref="A69:D69"/>
    <mergeCell ref="A77:D77"/>
    <mergeCell ref="A72:L72"/>
    <mergeCell ref="A1:L1"/>
    <mergeCell ref="A9:L9"/>
    <mergeCell ref="A13:D13"/>
    <mergeCell ref="A19:D19"/>
    <mergeCell ref="A80:L80"/>
    <mergeCell ref="A25:D25"/>
  </mergeCells>
  <pageMargins left="0.7" right="0.7" top="0.75" bottom="0.75" header="0.3" footer="0.3"/>
  <drawing r:id="rId1"/>
  <tableParts count="7">
    <tablePart r:id="rId2"/>
    <tablePart r:id="rId3"/>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802F-62E5-4E6A-8F2E-537551FA01E5}">
  <dimension ref="A1:N74"/>
  <sheetViews>
    <sheetView showGridLines="0" zoomScale="80" zoomScaleNormal="80" workbookViewId="0">
      <selection activeCell="K5" sqref="K5"/>
    </sheetView>
  </sheetViews>
  <sheetFormatPr baseColWidth="10" defaultColWidth="11.42578125" defaultRowHeight="15"/>
  <cols>
    <col min="1" max="1" width="54.42578125" customWidth="1"/>
    <col min="2" max="2" width="17.140625" bestFit="1" customWidth="1"/>
    <col min="3" max="3" width="27.7109375" customWidth="1"/>
    <col min="4" max="4" width="19.140625" bestFit="1" customWidth="1"/>
    <col min="5" max="5" width="20.7109375" bestFit="1" customWidth="1"/>
    <col min="6" max="6" width="25" bestFit="1" customWidth="1"/>
    <col min="7" max="7" width="18" customWidth="1"/>
    <col min="8" max="8" width="24.140625" customWidth="1"/>
    <col min="9" max="9" width="27.28515625" customWidth="1"/>
    <col min="10" max="10" width="25" customWidth="1"/>
  </cols>
  <sheetData>
    <row r="1" spans="1:12" s="1" customFormat="1" ht="30" customHeight="1" thickBot="1">
      <c r="A1" s="377" t="s">
        <v>1110</v>
      </c>
      <c r="B1" s="378"/>
      <c r="C1" s="378"/>
      <c r="D1" s="378"/>
      <c r="E1" s="378"/>
      <c r="F1" s="378"/>
      <c r="G1" s="378"/>
      <c r="H1" s="378"/>
      <c r="I1" s="378"/>
      <c r="J1" s="378"/>
      <c r="K1" s="378"/>
      <c r="L1" s="378"/>
    </row>
    <row r="3" spans="1:12" s="8" customFormat="1">
      <c r="A3" s="353" t="s">
        <v>384</v>
      </c>
      <c r="B3" s="354" t="s">
        <v>241</v>
      </c>
      <c r="C3" s="354" t="s">
        <v>1111</v>
      </c>
      <c r="D3" s="354" t="s">
        <v>1112</v>
      </c>
      <c r="E3" s="355" t="s">
        <v>1113</v>
      </c>
      <c r="F3" s="355" t="s">
        <v>1114</v>
      </c>
      <c r="G3" s="355" t="s">
        <v>1115</v>
      </c>
      <c r="H3" s="356" t="s">
        <v>1116</v>
      </c>
    </row>
    <row r="4" spans="1:12" s="4" customFormat="1" ht="46.5" customHeight="1">
      <c r="A4" s="471" t="s">
        <v>254</v>
      </c>
      <c r="B4" s="89" t="s">
        <v>1117</v>
      </c>
      <c r="C4" s="94" t="s">
        <v>1118</v>
      </c>
      <c r="D4" s="89" t="s">
        <v>1119</v>
      </c>
      <c r="E4" s="89" t="s">
        <v>445</v>
      </c>
      <c r="F4" s="94" t="s">
        <v>1120</v>
      </c>
      <c r="G4" s="89" t="s">
        <v>445</v>
      </c>
      <c r="H4" s="286" t="s">
        <v>1120</v>
      </c>
    </row>
    <row r="5" spans="1:12" s="4" customFormat="1" ht="24">
      <c r="A5" s="471"/>
      <c r="B5" s="89" t="s">
        <v>727</v>
      </c>
      <c r="C5" s="94" t="s">
        <v>1118</v>
      </c>
      <c r="D5" s="89" t="s">
        <v>1119</v>
      </c>
      <c r="E5" s="89" t="s">
        <v>445</v>
      </c>
      <c r="F5" s="352" t="s">
        <v>445</v>
      </c>
      <c r="G5" s="89" t="s">
        <v>445</v>
      </c>
      <c r="H5" s="90" t="s">
        <v>445</v>
      </c>
    </row>
    <row r="6" spans="1:12" s="4" customFormat="1" ht="52.5" customHeight="1">
      <c r="A6" s="88" t="s">
        <v>244</v>
      </c>
      <c r="B6" s="89" t="s">
        <v>1121</v>
      </c>
      <c r="C6" s="89" t="s">
        <v>1122</v>
      </c>
      <c r="D6" s="89" t="s">
        <v>1119</v>
      </c>
      <c r="E6" s="89" t="s">
        <v>445</v>
      </c>
      <c r="F6" s="94" t="s">
        <v>1120</v>
      </c>
      <c r="G6" s="89" t="s">
        <v>445</v>
      </c>
      <c r="H6" s="286" t="s">
        <v>1120</v>
      </c>
    </row>
    <row r="7" spans="1:12" ht="52.5" customHeight="1">
      <c r="A7" s="383" t="s">
        <v>1123</v>
      </c>
      <c r="B7" s="459"/>
      <c r="C7" s="459"/>
      <c r="D7" s="459"/>
      <c r="E7" s="459"/>
      <c r="F7" s="459"/>
      <c r="G7" s="459"/>
      <c r="H7" s="459"/>
    </row>
    <row r="10" spans="1:12" s="1" customFormat="1" ht="30" customHeight="1" thickBot="1">
      <c r="A10" s="377" t="s">
        <v>1124</v>
      </c>
      <c r="B10" s="378"/>
      <c r="C10" s="378"/>
      <c r="D10" s="378"/>
      <c r="E10" s="378"/>
      <c r="F10" s="378"/>
      <c r="G10" s="378"/>
      <c r="H10" s="378"/>
      <c r="I10" s="378"/>
      <c r="J10" s="378"/>
      <c r="K10" s="378"/>
      <c r="L10" s="378"/>
    </row>
    <row r="11" spans="1:12" s="6" customFormat="1">
      <c r="A11" s="6" t="s">
        <v>1125</v>
      </c>
    </row>
    <row r="13" spans="1:12" s="2" customFormat="1" ht="15" customHeight="1">
      <c r="A13" s="323"/>
      <c r="B13" s="469">
        <v>2020</v>
      </c>
      <c r="C13" s="469"/>
      <c r="D13" s="469"/>
      <c r="E13" s="470">
        <v>2021</v>
      </c>
      <c r="F13" s="470"/>
      <c r="G13" s="470"/>
      <c r="H13" s="470"/>
      <c r="I13" s="468" t="s">
        <v>1126</v>
      </c>
    </row>
    <row r="14" spans="1:12" s="9" customFormat="1" ht="24">
      <c r="A14" s="328"/>
      <c r="B14" s="325" t="s">
        <v>244</v>
      </c>
      <c r="C14" s="325" t="s">
        <v>254</v>
      </c>
      <c r="D14" s="325" t="s">
        <v>416</v>
      </c>
      <c r="E14" s="325" t="s">
        <v>244</v>
      </c>
      <c r="F14" s="325" t="s">
        <v>254</v>
      </c>
      <c r="G14" s="325" t="s">
        <v>259</v>
      </c>
      <c r="H14" s="325" t="s">
        <v>416</v>
      </c>
      <c r="I14" s="468"/>
    </row>
    <row r="15" spans="1:12" s="2" customFormat="1" ht="12.75" customHeight="1">
      <c r="A15" s="329" t="s">
        <v>1127</v>
      </c>
      <c r="B15" s="330"/>
      <c r="C15" s="330"/>
      <c r="D15" s="330"/>
      <c r="E15" s="330"/>
      <c r="F15" s="330"/>
      <c r="G15" s="330"/>
      <c r="H15" s="330"/>
      <c r="I15" s="331"/>
    </row>
    <row r="16" spans="1:12" s="285" customFormat="1" ht="12">
      <c r="A16" s="332" t="s">
        <v>1128</v>
      </c>
      <c r="B16" s="333">
        <v>1309.67</v>
      </c>
      <c r="C16" s="333">
        <v>1892.26</v>
      </c>
      <c r="D16" s="333">
        <f>SUM(B16:C16)</f>
        <v>3201.9300000000003</v>
      </c>
      <c r="E16" s="334">
        <f>SUM(E17:E18)</f>
        <v>1717.7190000000001</v>
      </c>
      <c r="F16" s="334">
        <f>SUM(F17:F18)</f>
        <v>2319.8900000000003</v>
      </c>
      <c r="G16" s="334">
        <f>SUM(G17:G18)</f>
        <v>8.01</v>
      </c>
      <c r="H16" s="334">
        <f>SUM(E16:G16)</f>
        <v>4045.6190000000006</v>
      </c>
      <c r="I16" s="335">
        <v>0</v>
      </c>
    </row>
    <row r="17" spans="1:9" s="5" customFormat="1" ht="12">
      <c r="A17" s="288" t="s">
        <v>1129</v>
      </c>
      <c r="B17" s="336">
        <v>1309.67</v>
      </c>
      <c r="C17" s="336">
        <v>1892.26</v>
      </c>
      <c r="D17" s="337">
        <f>SUM(C17:C17)</f>
        <v>1892.26</v>
      </c>
      <c r="E17" s="338">
        <v>1717.7190000000001</v>
      </c>
      <c r="F17" s="338">
        <f>2314.88+5.01</f>
        <v>2319.8900000000003</v>
      </c>
      <c r="G17" s="338">
        <v>8.01</v>
      </c>
      <c r="H17" s="339">
        <f>SUM(E17:G17)</f>
        <v>4045.6190000000006</v>
      </c>
      <c r="I17" s="340">
        <v>0</v>
      </c>
    </row>
    <row r="18" spans="1:9" s="5" customFormat="1" ht="12">
      <c r="A18" s="288" t="s">
        <v>1130</v>
      </c>
      <c r="B18" s="336">
        <v>0</v>
      </c>
      <c r="C18" s="336">
        <v>0</v>
      </c>
      <c r="D18" s="337">
        <f>SUM(C18:C18)</f>
        <v>0</v>
      </c>
      <c r="E18" s="336">
        <f t="shared" ref="E18:G18" si="0">SUM(D18:D18)</f>
        <v>0</v>
      </c>
      <c r="F18" s="336">
        <f t="shared" si="0"/>
        <v>0</v>
      </c>
      <c r="G18" s="336">
        <f t="shared" si="0"/>
        <v>0</v>
      </c>
      <c r="H18" s="339">
        <f>SUM(E18:G18)</f>
        <v>0</v>
      </c>
      <c r="I18" s="340">
        <f t="shared" ref="I18:I27" si="1">SUM(F18:H18)</f>
        <v>0</v>
      </c>
    </row>
    <row r="19" spans="1:9" s="285" customFormat="1" ht="12">
      <c r="A19" s="341" t="s">
        <v>1131</v>
      </c>
      <c r="B19" s="342">
        <v>110</v>
      </c>
      <c r="C19" s="342">
        <v>227.7</v>
      </c>
      <c r="D19" s="342">
        <f>SUM(B19:C19)</f>
        <v>337.7</v>
      </c>
      <c r="E19" s="343">
        <f>SUM(E20:E21)</f>
        <v>135.54</v>
      </c>
      <c r="F19" s="343">
        <f>SUM(F20:F21)</f>
        <v>253.63</v>
      </c>
      <c r="G19" s="343">
        <f>SUM(G20:G21)</f>
        <v>0</v>
      </c>
      <c r="H19" s="343">
        <f>SUM(E19:G19)</f>
        <v>389.16999999999996</v>
      </c>
      <c r="I19" s="344">
        <v>0</v>
      </c>
    </row>
    <row r="20" spans="1:9" s="5" customFormat="1" ht="12">
      <c r="A20" s="288" t="s">
        <v>1132</v>
      </c>
      <c r="B20" s="336">
        <v>110</v>
      </c>
      <c r="C20" s="336">
        <v>227.7</v>
      </c>
      <c r="D20" s="337">
        <f>SUM(B20:C20)</f>
        <v>337.7</v>
      </c>
      <c r="E20" s="338">
        <v>135.54</v>
      </c>
      <c r="F20" s="338">
        <v>253.63</v>
      </c>
      <c r="G20" s="338"/>
      <c r="H20" s="339">
        <f>SUM(E20:G20)</f>
        <v>389.16999999999996</v>
      </c>
      <c r="I20" s="340">
        <v>0</v>
      </c>
    </row>
    <row r="21" spans="1:9" s="5" customFormat="1" ht="12">
      <c r="A21" s="288" t="s">
        <v>1130</v>
      </c>
      <c r="B21" s="336">
        <v>0</v>
      </c>
      <c r="C21" s="336">
        <v>0</v>
      </c>
      <c r="D21" s="337">
        <f t="shared" ref="D21:G27" si="2">SUM(C21:C21)</f>
        <v>0</v>
      </c>
      <c r="E21" s="336">
        <f t="shared" si="2"/>
        <v>0</v>
      </c>
      <c r="F21" s="336">
        <f t="shared" si="2"/>
        <v>0</v>
      </c>
      <c r="G21" s="336">
        <f t="shared" si="2"/>
        <v>0</v>
      </c>
      <c r="H21" s="339">
        <f t="shared" ref="H21:H27" si="3">SUM(E21:G21)</f>
        <v>0</v>
      </c>
      <c r="I21" s="340">
        <f t="shared" si="1"/>
        <v>0</v>
      </c>
    </row>
    <row r="22" spans="1:9" s="285" customFormat="1" ht="12">
      <c r="A22" s="341" t="s">
        <v>1133</v>
      </c>
      <c r="B22" s="342">
        <v>0</v>
      </c>
      <c r="C22" s="342">
        <v>0</v>
      </c>
      <c r="D22" s="342">
        <f t="shared" si="2"/>
        <v>0</v>
      </c>
      <c r="E22" s="343">
        <f>SUM(E23:E24)</f>
        <v>0</v>
      </c>
      <c r="F22" s="343">
        <f>SUM(F23:F24)</f>
        <v>0</v>
      </c>
      <c r="G22" s="343">
        <f>SUM(G23:G24)</f>
        <v>0</v>
      </c>
      <c r="H22" s="343">
        <f t="shared" si="3"/>
        <v>0</v>
      </c>
      <c r="I22" s="344">
        <f t="shared" si="1"/>
        <v>0</v>
      </c>
    </row>
    <row r="23" spans="1:9" s="5" customFormat="1" ht="12">
      <c r="A23" s="288" t="s">
        <v>1132</v>
      </c>
      <c r="B23" s="336">
        <v>0</v>
      </c>
      <c r="C23" s="336">
        <v>0</v>
      </c>
      <c r="D23" s="337">
        <f t="shared" si="2"/>
        <v>0</v>
      </c>
      <c r="E23" s="338">
        <v>0</v>
      </c>
      <c r="F23" s="338">
        <v>0</v>
      </c>
      <c r="G23" s="338">
        <v>0</v>
      </c>
      <c r="H23" s="339">
        <f t="shared" si="3"/>
        <v>0</v>
      </c>
      <c r="I23" s="340">
        <f t="shared" si="1"/>
        <v>0</v>
      </c>
    </row>
    <row r="24" spans="1:9" s="5" customFormat="1" ht="12">
      <c r="A24" s="288" t="s">
        <v>1130</v>
      </c>
      <c r="B24" s="336">
        <v>0</v>
      </c>
      <c r="C24" s="336">
        <v>0</v>
      </c>
      <c r="D24" s="337">
        <f t="shared" si="2"/>
        <v>0</v>
      </c>
      <c r="E24" s="338">
        <v>0</v>
      </c>
      <c r="F24" s="338">
        <v>0</v>
      </c>
      <c r="G24" s="338">
        <v>0</v>
      </c>
      <c r="H24" s="339">
        <f t="shared" si="3"/>
        <v>0</v>
      </c>
      <c r="I24" s="340">
        <f t="shared" si="1"/>
        <v>0</v>
      </c>
    </row>
    <row r="25" spans="1:9" s="285" customFormat="1" ht="12">
      <c r="A25" s="341" t="s">
        <v>1134</v>
      </c>
      <c r="B25" s="342">
        <v>0</v>
      </c>
      <c r="C25" s="342">
        <v>0</v>
      </c>
      <c r="D25" s="342">
        <f t="shared" si="2"/>
        <v>0</v>
      </c>
      <c r="E25" s="343">
        <f>SUM(E26:E27)</f>
        <v>0</v>
      </c>
      <c r="F25" s="343">
        <f>SUM(F26:F27)</f>
        <v>0</v>
      </c>
      <c r="G25" s="343">
        <f>SUM(G26:G27)</f>
        <v>0</v>
      </c>
      <c r="H25" s="343">
        <f t="shared" si="3"/>
        <v>0</v>
      </c>
      <c r="I25" s="344">
        <f t="shared" si="1"/>
        <v>0</v>
      </c>
    </row>
    <row r="26" spans="1:9" s="5" customFormat="1" ht="12">
      <c r="A26" s="288" t="s">
        <v>1132</v>
      </c>
      <c r="B26" s="336">
        <v>0</v>
      </c>
      <c r="C26" s="336">
        <v>0</v>
      </c>
      <c r="D26" s="337">
        <f t="shared" si="2"/>
        <v>0</v>
      </c>
      <c r="E26" s="338">
        <v>0</v>
      </c>
      <c r="F26" s="338">
        <v>0</v>
      </c>
      <c r="G26" s="338">
        <v>0</v>
      </c>
      <c r="H26" s="339">
        <f t="shared" si="3"/>
        <v>0</v>
      </c>
      <c r="I26" s="340">
        <f t="shared" si="1"/>
        <v>0</v>
      </c>
    </row>
    <row r="27" spans="1:9" s="5" customFormat="1" ht="12">
      <c r="A27" s="288" t="s">
        <v>1130</v>
      </c>
      <c r="B27" s="336">
        <v>0</v>
      </c>
      <c r="C27" s="336">
        <v>0</v>
      </c>
      <c r="D27" s="337">
        <f t="shared" si="2"/>
        <v>0</v>
      </c>
      <c r="E27" s="338">
        <v>0</v>
      </c>
      <c r="F27" s="338">
        <v>0</v>
      </c>
      <c r="G27" s="338">
        <v>0</v>
      </c>
      <c r="H27" s="339">
        <f t="shared" si="3"/>
        <v>0</v>
      </c>
      <c r="I27" s="340">
        <f t="shared" si="1"/>
        <v>0</v>
      </c>
    </row>
    <row r="28" spans="1:9" s="2" customFormat="1" ht="12.75" customHeight="1">
      <c r="A28" s="345" t="s">
        <v>1135</v>
      </c>
      <c r="B28" s="346"/>
      <c r="C28" s="346"/>
      <c r="D28" s="346"/>
      <c r="E28" s="346"/>
      <c r="F28" s="346"/>
      <c r="G28" s="346"/>
      <c r="H28" s="346"/>
      <c r="I28" s="347"/>
    </row>
    <row r="29" spans="1:9" s="5" customFormat="1" ht="12">
      <c r="A29" s="288" t="s">
        <v>1136</v>
      </c>
      <c r="B29" s="336">
        <v>20.87</v>
      </c>
      <c r="C29" s="336">
        <v>4.21</v>
      </c>
      <c r="D29" s="337">
        <f>SUM(B29:C29)</f>
        <v>25.080000000000002</v>
      </c>
      <c r="E29" s="338">
        <v>18.559999999999999</v>
      </c>
      <c r="F29" s="338">
        <v>3.5</v>
      </c>
      <c r="G29" s="338">
        <v>1.08</v>
      </c>
      <c r="H29" s="339">
        <f>SUM(E29:G29)</f>
        <v>23.14</v>
      </c>
      <c r="I29" s="340">
        <v>0</v>
      </c>
    </row>
    <row r="30" spans="1:9" s="5" customFormat="1" ht="12">
      <c r="A30" s="288" t="s">
        <v>1137</v>
      </c>
      <c r="B30" s="336">
        <v>0</v>
      </c>
      <c r="C30" s="336">
        <v>0</v>
      </c>
      <c r="D30" s="337">
        <v>0</v>
      </c>
      <c r="E30" s="338">
        <v>0</v>
      </c>
      <c r="F30" s="338">
        <v>0</v>
      </c>
      <c r="G30" s="338">
        <v>0</v>
      </c>
      <c r="H30" s="339">
        <v>0</v>
      </c>
      <c r="I30" s="340">
        <f t="shared" ref="I30:I31" si="4">SUM(F30:H30)</f>
        <v>0</v>
      </c>
    </row>
    <row r="31" spans="1:9" s="5" customFormat="1" ht="12">
      <c r="A31" s="288" t="s">
        <v>1138</v>
      </c>
      <c r="B31" s="336">
        <v>0</v>
      </c>
      <c r="C31" s="336">
        <v>0</v>
      </c>
      <c r="D31" s="337">
        <v>0</v>
      </c>
      <c r="E31" s="338">
        <v>0</v>
      </c>
      <c r="F31" s="338">
        <v>0</v>
      </c>
      <c r="G31" s="338">
        <v>0</v>
      </c>
      <c r="H31" s="339">
        <v>0</v>
      </c>
      <c r="I31" s="340">
        <f t="shared" si="4"/>
        <v>0</v>
      </c>
    </row>
    <row r="32" spans="1:9" s="5" customFormat="1" ht="12">
      <c r="A32" s="288" t="s">
        <v>1139</v>
      </c>
      <c r="B32" s="336">
        <v>0</v>
      </c>
      <c r="C32" s="336">
        <v>0</v>
      </c>
      <c r="D32" s="337">
        <v>0</v>
      </c>
      <c r="E32" s="338">
        <v>0</v>
      </c>
      <c r="F32" s="338">
        <v>0</v>
      </c>
      <c r="G32" s="338">
        <v>0</v>
      </c>
      <c r="H32" s="339">
        <f>SUM(E32:G32)</f>
        <v>0</v>
      </c>
      <c r="I32" s="340">
        <f>SUM(F32:H32)</f>
        <v>0</v>
      </c>
    </row>
    <row r="33" spans="1:14" s="2" customFormat="1" ht="12.75" customHeight="1">
      <c r="A33" s="345" t="s">
        <v>1140</v>
      </c>
      <c r="B33" s="346"/>
      <c r="C33" s="346"/>
      <c r="D33" s="346"/>
      <c r="E33" s="346"/>
      <c r="F33" s="346"/>
      <c r="G33" s="346"/>
      <c r="H33" s="346"/>
      <c r="I33" s="347"/>
    </row>
    <row r="34" spans="1:14" s="7" customFormat="1" ht="25.5" customHeight="1">
      <c r="A34" s="348" t="s">
        <v>1141</v>
      </c>
      <c r="B34" s="349">
        <f t="shared" ref="B34:G34" si="5">SUM(B16+B19+B22+B25+B29+B30+B31+B32)</f>
        <v>1440.54</v>
      </c>
      <c r="C34" s="349">
        <f t="shared" si="5"/>
        <v>2124.17</v>
      </c>
      <c r="D34" s="350">
        <f t="shared" si="5"/>
        <v>3564.71</v>
      </c>
      <c r="E34" s="349">
        <f t="shared" si="5"/>
        <v>1871.819</v>
      </c>
      <c r="F34" s="349">
        <f t="shared" si="5"/>
        <v>2577.0200000000004</v>
      </c>
      <c r="G34" s="349">
        <f t="shared" si="5"/>
        <v>9.09</v>
      </c>
      <c r="H34" s="350">
        <f t="shared" ref="H34" si="6">SUM(H16+H19+H22+H25+H29+H30+H31+H32)</f>
        <v>4457.929000000001</v>
      </c>
      <c r="I34" s="351">
        <f>SUM(I16+I19+I22+I25+I29+I30+I31+I32)</f>
        <v>0</v>
      </c>
      <c r="J34" s="46"/>
      <c r="K34" s="46"/>
      <c r="L34" s="46"/>
      <c r="M34" s="46"/>
      <c r="N34" s="46"/>
    </row>
    <row r="35" spans="1:14" s="5" customFormat="1" ht="120.75" customHeight="1">
      <c r="A35" s="383" t="s">
        <v>1142</v>
      </c>
      <c r="B35" s="459"/>
      <c r="C35" s="459"/>
      <c r="D35" s="459"/>
      <c r="E35" s="459"/>
      <c r="F35" s="459"/>
      <c r="G35" s="459"/>
      <c r="H35" s="459"/>
      <c r="I35" s="459"/>
      <c r="J35" s="459"/>
      <c r="K35" s="459"/>
      <c r="L35" s="459"/>
      <c r="M35" s="459"/>
      <c r="N35" s="459"/>
    </row>
    <row r="36" spans="1:14">
      <c r="A36" s="3"/>
    </row>
    <row r="38" spans="1:14" s="1" customFormat="1" ht="30" customHeight="1" thickBot="1">
      <c r="A38" s="377" t="s">
        <v>1143</v>
      </c>
      <c r="B38" s="378"/>
      <c r="C38" s="378"/>
      <c r="D38" s="378"/>
      <c r="E38" s="378"/>
      <c r="F38" s="378"/>
      <c r="G38" s="378"/>
      <c r="H38" s="378"/>
      <c r="I38" s="378"/>
      <c r="J38" s="378"/>
      <c r="K38" s="378"/>
      <c r="L38" s="378"/>
    </row>
    <row r="39" spans="1:14" s="6" customFormat="1">
      <c r="A39" s="6" t="s">
        <v>1144</v>
      </c>
    </row>
    <row r="41" spans="1:14" s="2" customFormat="1" ht="12">
      <c r="A41" s="323"/>
      <c r="B41" s="469">
        <v>2020</v>
      </c>
      <c r="C41" s="469"/>
      <c r="D41" s="469"/>
      <c r="E41" s="470">
        <v>2021</v>
      </c>
      <c r="F41" s="470"/>
      <c r="G41" s="470"/>
      <c r="H41" s="470"/>
    </row>
    <row r="42" spans="1:14" s="9" customFormat="1" ht="24">
      <c r="A42" s="324"/>
      <c r="B42" s="325" t="s">
        <v>244</v>
      </c>
      <c r="C42" s="325" t="s">
        <v>254</v>
      </c>
      <c r="D42" s="325" t="s">
        <v>416</v>
      </c>
      <c r="E42" s="325" t="s">
        <v>244</v>
      </c>
      <c r="F42" s="325" t="s">
        <v>254</v>
      </c>
      <c r="G42" s="325" t="s">
        <v>259</v>
      </c>
      <c r="H42" s="325" t="s">
        <v>416</v>
      </c>
    </row>
    <row r="43" spans="1:14" s="2" customFormat="1" ht="12">
      <c r="A43" s="309" t="s">
        <v>1145</v>
      </c>
      <c r="B43" s="326"/>
      <c r="C43" s="326"/>
      <c r="D43" s="326"/>
      <c r="E43" s="326"/>
      <c r="F43" s="326"/>
      <c r="G43" s="326"/>
      <c r="H43" s="326"/>
    </row>
    <row r="44" spans="1:14" s="2" customFormat="1" ht="12">
      <c r="A44" s="252" t="s">
        <v>1146</v>
      </c>
      <c r="B44" s="278">
        <v>264.07</v>
      </c>
      <c r="C44" s="107">
        <f>733098*0.001</f>
        <v>733.09800000000007</v>
      </c>
      <c r="D44" s="279">
        <f>SUM(B44:C44)</f>
        <v>997.16800000000012</v>
      </c>
      <c r="E44" s="280">
        <v>688.04</v>
      </c>
      <c r="F44" s="280">
        <v>1395.64</v>
      </c>
      <c r="G44" s="107">
        <v>9.1</v>
      </c>
      <c r="H44" s="279">
        <f>SUM(E44:G44)</f>
        <v>2092.7800000000002</v>
      </c>
    </row>
    <row r="45" spans="1:14" s="2" customFormat="1" ht="12">
      <c r="A45" s="252" t="s">
        <v>1147</v>
      </c>
      <c r="B45" s="278">
        <v>0</v>
      </c>
      <c r="C45" s="278">
        <v>0</v>
      </c>
      <c r="D45" s="279">
        <f t="shared" ref="D45:D48" si="7">SUM(B45:C45)</f>
        <v>0</v>
      </c>
      <c r="E45" s="280">
        <v>0</v>
      </c>
      <c r="F45" s="280">
        <v>0</v>
      </c>
      <c r="G45" s="280">
        <v>0</v>
      </c>
      <c r="H45" s="279">
        <f>SUM(E45:G45)</f>
        <v>0</v>
      </c>
    </row>
    <row r="46" spans="1:14" s="2" customFormat="1" ht="12">
      <c r="A46" s="252" t="s">
        <v>1148</v>
      </c>
      <c r="B46" s="278">
        <v>0</v>
      </c>
      <c r="C46" s="278">
        <v>0</v>
      </c>
      <c r="D46" s="279">
        <f t="shared" si="7"/>
        <v>0</v>
      </c>
      <c r="E46" s="280">
        <v>0</v>
      </c>
      <c r="F46" s="280">
        <v>0</v>
      </c>
      <c r="G46" s="280">
        <v>0</v>
      </c>
      <c r="H46" s="279">
        <f>SUM(E46:G46)</f>
        <v>0</v>
      </c>
    </row>
    <row r="47" spans="1:14" s="2" customFormat="1" ht="12">
      <c r="A47" s="252" t="s">
        <v>1149</v>
      </c>
      <c r="B47" s="278">
        <v>0</v>
      </c>
      <c r="C47" s="278">
        <v>0</v>
      </c>
      <c r="D47" s="279">
        <f t="shared" si="7"/>
        <v>0</v>
      </c>
      <c r="E47" s="280">
        <v>0</v>
      </c>
      <c r="F47" s="280">
        <v>0</v>
      </c>
      <c r="G47" s="280">
        <v>0</v>
      </c>
      <c r="H47" s="279">
        <f>SUM(E47:G47)</f>
        <v>0</v>
      </c>
    </row>
    <row r="48" spans="1:14" s="2" customFormat="1" ht="12">
      <c r="A48" s="277" t="s">
        <v>1150</v>
      </c>
      <c r="B48" s="278">
        <v>0</v>
      </c>
      <c r="C48" s="278">
        <v>0</v>
      </c>
      <c r="D48" s="279">
        <f t="shared" si="7"/>
        <v>0</v>
      </c>
      <c r="E48" s="280">
        <v>0</v>
      </c>
      <c r="F48" s="280">
        <v>0</v>
      </c>
      <c r="G48" s="280">
        <v>0</v>
      </c>
      <c r="H48" s="279">
        <f>SUM(E48:G48)</f>
        <v>0</v>
      </c>
    </row>
    <row r="49" spans="1:12" s="2" customFormat="1" ht="12">
      <c r="A49" s="276" t="s">
        <v>1151</v>
      </c>
      <c r="B49" s="281"/>
      <c r="C49" s="281"/>
      <c r="D49" s="281"/>
      <c r="E49" s="281"/>
      <c r="F49" s="281"/>
      <c r="G49" s="281"/>
      <c r="H49" s="281"/>
    </row>
    <row r="50" spans="1:12" s="2" customFormat="1" ht="12">
      <c r="A50" s="252" t="s">
        <v>1152</v>
      </c>
      <c r="B50" s="105">
        <f>SUM(B44:B47)</f>
        <v>264.07</v>
      </c>
      <c r="C50" s="105">
        <f>SUM(C44:C47)</f>
        <v>733.09800000000007</v>
      </c>
      <c r="D50" s="282">
        <f>SUM(B50:C50)</f>
        <v>997.16800000000012</v>
      </c>
      <c r="E50" s="105">
        <f t="shared" ref="E50:H50" si="8">SUM(E44:E47)</f>
        <v>688.04</v>
      </c>
      <c r="F50" s="105">
        <f>SUM(F44:F47)</f>
        <v>1395.64</v>
      </c>
      <c r="G50" s="105">
        <f>SUM(G44:G47)</f>
        <v>9.1</v>
      </c>
      <c r="H50" s="282">
        <f t="shared" si="8"/>
        <v>2092.7800000000002</v>
      </c>
    </row>
    <row r="51" spans="1:12" s="2" customFormat="1" ht="12">
      <c r="A51" s="327" t="s">
        <v>1153</v>
      </c>
      <c r="B51" s="283"/>
      <c r="C51" s="283"/>
      <c r="D51" s="283"/>
      <c r="E51" s="283"/>
      <c r="F51" s="283"/>
      <c r="G51" s="283"/>
      <c r="H51" s="283"/>
    </row>
    <row r="52" spans="1:12" s="2" customFormat="1" ht="12">
      <c r="A52" s="252" t="s">
        <v>1132</v>
      </c>
      <c r="B52" s="278">
        <v>0</v>
      </c>
      <c r="C52" s="278">
        <v>0</v>
      </c>
      <c r="D52" s="279">
        <f>SUM(B52:C52)</f>
        <v>0</v>
      </c>
      <c r="E52" s="105">
        <v>0</v>
      </c>
      <c r="F52" s="105">
        <v>0</v>
      </c>
      <c r="G52" s="105">
        <v>0</v>
      </c>
      <c r="H52" s="279">
        <f>SUM(E52:G52)</f>
        <v>0</v>
      </c>
    </row>
    <row r="53" spans="1:12" s="2" customFormat="1" ht="12">
      <c r="A53" s="252" t="s">
        <v>1130</v>
      </c>
      <c r="B53" s="278">
        <f>264070*0.001</f>
        <v>264.07</v>
      </c>
      <c r="C53" s="278">
        <f>C44</f>
        <v>733.09800000000007</v>
      </c>
      <c r="D53" s="279">
        <f>SUM(B53:C53)</f>
        <v>997.16800000000012</v>
      </c>
      <c r="E53" s="105">
        <v>688.04</v>
      </c>
      <c r="F53" s="105">
        <v>1395.64</v>
      </c>
      <c r="G53" s="105">
        <f>G50</f>
        <v>9.1</v>
      </c>
      <c r="H53" s="279">
        <f>SUM(E53:G53)</f>
        <v>2092.7800000000002</v>
      </c>
    </row>
    <row r="54" spans="1:12" s="2" customFormat="1" ht="12">
      <c r="A54" s="327" t="s">
        <v>1154</v>
      </c>
      <c r="B54" s="283"/>
      <c r="C54" s="283"/>
      <c r="D54" s="283"/>
      <c r="E54" s="283"/>
      <c r="F54" s="283"/>
      <c r="G54" s="283"/>
      <c r="H54" s="283"/>
    </row>
    <row r="55" spans="1:12" s="2" customFormat="1" ht="12">
      <c r="A55" s="252" t="s">
        <v>1155</v>
      </c>
      <c r="B55" s="267">
        <v>0</v>
      </c>
      <c r="C55" s="107">
        <v>0</v>
      </c>
      <c r="D55" s="284">
        <f>SUM(B55:C55)</f>
        <v>0</v>
      </c>
      <c r="E55" s="267">
        <v>0</v>
      </c>
      <c r="F55" s="267">
        <v>0</v>
      </c>
      <c r="G55" s="267">
        <v>0</v>
      </c>
      <c r="H55" s="284">
        <f>SUM(E55:G55)</f>
        <v>0</v>
      </c>
    </row>
    <row r="56" spans="1:12" s="2" customFormat="1" ht="24">
      <c r="A56" s="252" t="s">
        <v>1156</v>
      </c>
      <c r="B56" s="267">
        <v>0</v>
      </c>
      <c r="C56" s="267">
        <v>0</v>
      </c>
      <c r="D56" s="284">
        <f t="shared" ref="D56:D58" si="9">SUM(B56:C56)</f>
        <v>0</v>
      </c>
      <c r="E56" s="267">
        <v>0</v>
      </c>
      <c r="F56" s="267">
        <v>0</v>
      </c>
      <c r="G56" s="267">
        <v>0</v>
      </c>
      <c r="H56" s="284">
        <f>SUM(E56:G56)</f>
        <v>0</v>
      </c>
    </row>
    <row r="57" spans="1:12" s="2" customFormat="1" ht="26.25" customHeight="1">
      <c r="A57" s="252" t="s">
        <v>1157</v>
      </c>
      <c r="B57" s="267">
        <v>0</v>
      </c>
      <c r="C57" s="267">
        <v>0</v>
      </c>
      <c r="D57" s="284">
        <f t="shared" si="9"/>
        <v>0</v>
      </c>
      <c r="E57" s="267">
        <v>0</v>
      </c>
      <c r="F57" s="267">
        <v>0</v>
      </c>
      <c r="G57" s="267">
        <v>0</v>
      </c>
      <c r="H57" s="284">
        <f>SUM(E57:G57)</f>
        <v>0</v>
      </c>
    </row>
    <row r="58" spans="1:12" s="2" customFormat="1" ht="48">
      <c r="A58" s="252" t="s">
        <v>1158</v>
      </c>
      <c r="B58" s="107">
        <v>264.07</v>
      </c>
      <c r="C58" s="107">
        <f>733098*0.001</f>
        <v>733.09800000000007</v>
      </c>
      <c r="D58" s="106">
        <f t="shared" si="9"/>
        <v>997.16800000000012</v>
      </c>
      <c r="E58" s="107">
        <v>688.04</v>
      </c>
      <c r="F58" s="107">
        <v>1395.64</v>
      </c>
      <c r="G58" s="107">
        <f>G53</f>
        <v>9.1</v>
      </c>
      <c r="H58" s="106">
        <f>SUM(E58:G58)</f>
        <v>2092.7800000000002</v>
      </c>
    </row>
    <row r="59" spans="1:12" s="2" customFormat="1" ht="123" customHeight="1">
      <c r="A59" s="475" t="s">
        <v>1159</v>
      </c>
      <c r="B59" s="475"/>
      <c r="C59" s="475"/>
      <c r="D59" s="475"/>
      <c r="E59" s="475"/>
      <c r="F59" s="475"/>
      <c r="G59" s="475"/>
      <c r="H59" s="475"/>
    </row>
    <row r="61" spans="1:12" s="1" customFormat="1" ht="30" customHeight="1" thickBot="1">
      <c r="A61" s="377" t="s">
        <v>1160</v>
      </c>
      <c r="B61" s="378"/>
      <c r="C61" s="378"/>
      <c r="D61" s="378"/>
      <c r="E61" s="378"/>
      <c r="F61" s="378"/>
      <c r="G61" s="378"/>
      <c r="H61" s="378"/>
      <c r="I61" s="378"/>
      <c r="J61" s="378"/>
      <c r="K61" s="378"/>
      <c r="L61" s="378"/>
    </row>
    <row r="62" spans="1:12" s="6" customFormat="1">
      <c r="A62" s="6" t="s">
        <v>1032</v>
      </c>
    </row>
    <row r="63" spans="1:12">
      <c r="A63" s="306"/>
      <c r="B63" s="306"/>
      <c r="C63" s="306"/>
      <c r="D63" s="306"/>
      <c r="E63" s="307"/>
      <c r="F63" s="306"/>
      <c r="G63" s="306"/>
      <c r="H63" s="306"/>
    </row>
    <row r="64" spans="1:12" s="2" customFormat="1" ht="12">
      <c r="A64" s="308"/>
      <c r="B64" s="309">
        <v>2020</v>
      </c>
      <c r="C64" s="309"/>
      <c r="D64" s="309"/>
      <c r="E64" s="309">
        <v>2021</v>
      </c>
      <c r="F64" s="309"/>
      <c r="G64" s="309"/>
      <c r="H64" s="309"/>
    </row>
    <row r="65" spans="1:8" s="9" customFormat="1" ht="29.25" customHeight="1">
      <c r="A65" s="309" t="s">
        <v>1161</v>
      </c>
      <c r="B65" s="309" t="s">
        <v>244</v>
      </c>
      <c r="C65" s="309" t="s">
        <v>254</v>
      </c>
      <c r="D65" s="309" t="s">
        <v>416</v>
      </c>
      <c r="E65" s="309" t="s">
        <v>1162</v>
      </c>
      <c r="F65" s="309" t="s">
        <v>1163</v>
      </c>
      <c r="G65" s="309" t="s">
        <v>259</v>
      </c>
      <c r="H65" s="309" t="s">
        <v>1164</v>
      </c>
    </row>
    <row r="66" spans="1:8" s="2" customFormat="1" ht="12">
      <c r="A66" s="310" t="s">
        <v>1165</v>
      </c>
      <c r="B66" s="311">
        <v>1391.07</v>
      </c>
      <c r="C66" s="312">
        <v>1176.47</v>
      </c>
      <c r="D66" s="313">
        <f>SUM(B66:C66)</f>
        <v>2567.54</v>
      </c>
      <c r="E66" s="314">
        <f>E34-E58</f>
        <v>1183.779</v>
      </c>
      <c r="F66" s="305">
        <f>F34-F58</f>
        <v>1181.3800000000003</v>
      </c>
      <c r="G66" s="315">
        <v>9.1</v>
      </c>
      <c r="H66" s="313">
        <f>SUM(E66:G66)</f>
        <v>2374.2590000000005</v>
      </c>
    </row>
    <row r="67" spans="1:8" s="2" customFormat="1" ht="24">
      <c r="A67" s="310" t="s">
        <v>1166</v>
      </c>
      <c r="B67" s="316">
        <v>0</v>
      </c>
      <c r="C67" s="316">
        <v>0</v>
      </c>
      <c r="D67" s="313">
        <f>SUM(B67:C67)</f>
        <v>0</v>
      </c>
      <c r="E67" s="305">
        <v>0</v>
      </c>
      <c r="F67" s="305">
        <v>0</v>
      </c>
      <c r="G67" s="315">
        <v>0</v>
      </c>
      <c r="H67" s="313">
        <f t="shared" ref="H67:H69" si="10">SUM(E67:G67)</f>
        <v>0</v>
      </c>
    </row>
    <row r="68" spans="1:8" s="2" customFormat="1" ht="12">
      <c r="A68" s="310" t="s">
        <v>1167</v>
      </c>
      <c r="B68" s="311">
        <v>1884.4449999999999</v>
      </c>
      <c r="C68" s="311">
        <v>523.71</v>
      </c>
      <c r="D68" s="313">
        <f t="shared" ref="D68:D69" si="11">SUM(B68:C68)</f>
        <v>2408.1549999999997</v>
      </c>
      <c r="E68" s="314">
        <v>621.697</v>
      </c>
      <c r="F68" s="317">
        <v>1395</v>
      </c>
      <c r="G68" s="315">
        <v>0</v>
      </c>
      <c r="H68" s="313">
        <f t="shared" si="10"/>
        <v>2016.6970000000001</v>
      </c>
    </row>
    <row r="69" spans="1:8" s="2" customFormat="1" ht="24">
      <c r="A69" s="310" t="s">
        <v>1168</v>
      </c>
      <c r="B69" s="311">
        <v>3275.5189999999993</v>
      </c>
      <c r="C69" s="311">
        <v>1700.18</v>
      </c>
      <c r="D69" s="313">
        <f t="shared" si="11"/>
        <v>4975.6989999999996</v>
      </c>
      <c r="E69" s="317">
        <f>E66+E68</f>
        <v>1805.4760000000001</v>
      </c>
      <c r="F69" s="317">
        <f>F66+F68</f>
        <v>2576.38</v>
      </c>
      <c r="G69" s="318">
        <v>0</v>
      </c>
      <c r="H69" s="313">
        <f t="shared" si="10"/>
        <v>4381.8559999999998</v>
      </c>
    </row>
    <row r="70" spans="1:8" s="2" customFormat="1" ht="24">
      <c r="A70" s="310" t="s">
        <v>1169</v>
      </c>
      <c r="B70" s="319">
        <f>B68/B69</f>
        <v>0.57531188187276594</v>
      </c>
      <c r="C70" s="319">
        <f>C68/C69</f>
        <v>0.30803209071980614</v>
      </c>
      <c r="D70" s="320">
        <f>D68/D69</f>
        <v>0.48398325541798248</v>
      </c>
      <c r="E70" s="321">
        <f>E68/E69</f>
        <v>0.34433966444306097</v>
      </c>
      <c r="F70" s="321">
        <f>F68/F69</f>
        <v>0.54145739370744994</v>
      </c>
      <c r="G70" s="321">
        <v>0</v>
      </c>
      <c r="H70" s="322">
        <f>H68/H69</f>
        <v>0.46023808176261388</v>
      </c>
    </row>
    <row r="71" spans="1:8" s="2" customFormat="1" ht="103.5" customHeight="1">
      <c r="A71" s="472" t="s">
        <v>1170</v>
      </c>
      <c r="B71" s="472"/>
      <c r="C71" s="472"/>
      <c r="D71" s="472"/>
      <c r="E71" s="472"/>
      <c r="F71" s="472"/>
      <c r="G71" s="472"/>
      <c r="H71" s="472"/>
    </row>
    <row r="72" spans="1:8">
      <c r="A72" s="473" t="s">
        <v>1171</v>
      </c>
      <c r="B72" s="474"/>
      <c r="C72" s="474"/>
      <c r="D72" s="474"/>
      <c r="E72" s="474"/>
      <c r="F72" s="474"/>
      <c r="G72" s="474"/>
      <c r="H72" s="474"/>
    </row>
    <row r="73" spans="1:8">
      <c r="A73" s="473" t="s">
        <v>1171</v>
      </c>
      <c r="B73" s="474"/>
      <c r="C73" s="474"/>
      <c r="D73" s="474"/>
      <c r="E73" s="474"/>
      <c r="F73" s="474"/>
      <c r="G73" s="474"/>
      <c r="H73" s="474"/>
    </row>
    <row r="74" spans="1:8">
      <c r="A74" s="473"/>
      <c r="B74" s="474"/>
      <c r="C74" s="474"/>
      <c r="D74" s="474"/>
      <c r="E74" s="474"/>
      <c r="F74" s="474"/>
      <c r="G74" s="474"/>
      <c r="H74" s="474"/>
    </row>
  </sheetData>
  <mergeCells count="17">
    <mergeCell ref="A71:H71"/>
    <mergeCell ref="A72:H72"/>
    <mergeCell ref="A73:H73"/>
    <mergeCell ref="A74:H74"/>
    <mergeCell ref="A38:L38"/>
    <mergeCell ref="A61:L61"/>
    <mergeCell ref="A59:H59"/>
    <mergeCell ref="A1:L1"/>
    <mergeCell ref="I13:I14"/>
    <mergeCell ref="B41:D41"/>
    <mergeCell ref="E41:H41"/>
    <mergeCell ref="A4:A5"/>
    <mergeCell ref="A10:L10"/>
    <mergeCell ref="B13:D13"/>
    <mergeCell ref="E13:H13"/>
    <mergeCell ref="A35:N35"/>
    <mergeCell ref="A7:H7"/>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45EA-D06A-447E-A7EE-ED8A8BE040AB}">
  <dimension ref="A1:L115"/>
  <sheetViews>
    <sheetView showGridLines="0" zoomScale="80" zoomScaleNormal="80" workbookViewId="0">
      <selection activeCell="B93" sqref="B93"/>
    </sheetView>
  </sheetViews>
  <sheetFormatPr baseColWidth="10" defaultColWidth="11.42578125" defaultRowHeight="15"/>
  <cols>
    <col min="1" max="1" width="49.28515625" style="10" customWidth="1"/>
    <col min="2" max="2" width="63.140625" style="10" customWidth="1"/>
    <col min="3" max="3" width="67.42578125" style="10" customWidth="1"/>
    <col min="4" max="4" width="48.42578125" style="10" customWidth="1"/>
    <col min="5" max="5" width="35.42578125" style="10" customWidth="1"/>
    <col min="6" max="6" width="68" style="10" customWidth="1"/>
    <col min="7" max="7" width="26.7109375" style="10" customWidth="1"/>
    <col min="8" max="16384" width="11.42578125" style="10"/>
  </cols>
  <sheetData>
    <row r="1" spans="1:12" ht="36.75" customHeight="1" thickBot="1">
      <c r="A1" s="377" t="s">
        <v>185</v>
      </c>
      <c r="B1" s="378"/>
      <c r="C1" s="378"/>
      <c r="D1" s="378"/>
      <c r="E1" s="378"/>
      <c r="F1" s="378"/>
      <c r="G1" s="378"/>
      <c r="H1" s="378"/>
      <c r="I1" s="378"/>
      <c r="J1" s="378"/>
      <c r="K1" s="378"/>
      <c r="L1" s="378"/>
    </row>
    <row r="2" spans="1:12" s="15" customFormat="1"/>
    <row r="3" spans="1:12" s="16" customFormat="1">
      <c r="A3" s="51" t="s">
        <v>186</v>
      </c>
      <c r="B3" s="52" t="s">
        <v>187</v>
      </c>
      <c r="C3" s="52" t="s">
        <v>188</v>
      </c>
      <c r="D3" s="53" t="s">
        <v>189</v>
      </c>
    </row>
    <row r="4" spans="1:12" ht="24">
      <c r="A4" s="17" t="s">
        <v>190</v>
      </c>
      <c r="B4" s="18" t="s">
        <v>191</v>
      </c>
      <c r="C4" s="18" t="s">
        <v>192</v>
      </c>
      <c r="D4" s="19" t="s">
        <v>193</v>
      </c>
    </row>
    <row r="5" spans="1:12" ht="24">
      <c r="A5" s="20" t="s">
        <v>194</v>
      </c>
      <c r="B5" s="21" t="s">
        <v>191</v>
      </c>
      <c r="C5" s="21" t="s">
        <v>195</v>
      </c>
      <c r="D5" s="22" t="s">
        <v>196</v>
      </c>
    </row>
    <row r="6" spans="1:12">
      <c r="A6" s="20" t="s">
        <v>197</v>
      </c>
      <c r="B6" s="21" t="s">
        <v>198</v>
      </c>
      <c r="C6" s="21" t="s">
        <v>199</v>
      </c>
      <c r="D6" s="23" t="s">
        <v>104</v>
      </c>
    </row>
    <row r="7" spans="1:12" ht="25.5" customHeight="1">
      <c r="A7" s="20" t="s">
        <v>200</v>
      </c>
      <c r="B7" s="21" t="s">
        <v>191</v>
      </c>
      <c r="C7" s="21" t="s">
        <v>201</v>
      </c>
      <c r="D7" s="23" t="s">
        <v>104</v>
      </c>
    </row>
    <row r="8" spans="1:12">
      <c r="A8" s="20" t="s">
        <v>202</v>
      </c>
      <c r="B8" s="21" t="s">
        <v>191</v>
      </c>
      <c r="C8" s="21" t="s">
        <v>203</v>
      </c>
      <c r="D8" s="23" t="s">
        <v>104</v>
      </c>
    </row>
    <row r="9" spans="1:12">
      <c r="A9" s="24" t="s">
        <v>204</v>
      </c>
      <c r="B9" s="25"/>
      <c r="C9" s="25"/>
      <c r="D9" s="26"/>
    </row>
    <row r="10" spans="1:12" ht="24">
      <c r="A10" s="20" t="s">
        <v>205</v>
      </c>
      <c r="B10" s="21" t="s">
        <v>191</v>
      </c>
      <c r="C10" s="21" t="s">
        <v>206</v>
      </c>
      <c r="D10" s="23" t="s">
        <v>120</v>
      </c>
    </row>
    <row r="11" spans="1:12">
      <c r="A11" s="20" t="s">
        <v>207</v>
      </c>
      <c r="B11" s="21" t="s">
        <v>191</v>
      </c>
      <c r="C11" s="21" t="s">
        <v>208</v>
      </c>
      <c r="D11" s="23" t="s">
        <v>120</v>
      </c>
    </row>
    <row r="12" spans="1:12" ht="24">
      <c r="A12" s="20" t="s">
        <v>209</v>
      </c>
      <c r="B12" s="21" t="s">
        <v>198</v>
      </c>
      <c r="C12" s="21" t="s">
        <v>210</v>
      </c>
      <c r="D12" s="23" t="s">
        <v>120</v>
      </c>
    </row>
    <row r="13" spans="1:12">
      <c r="A13" s="20" t="s">
        <v>211</v>
      </c>
      <c r="B13" s="21" t="s">
        <v>198</v>
      </c>
      <c r="C13" s="21" t="s">
        <v>212</v>
      </c>
      <c r="D13" s="23" t="s">
        <v>120</v>
      </c>
    </row>
    <row r="14" spans="1:12">
      <c r="A14" s="24" t="s">
        <v>213</v>
      </c>
      <c r="B14" s="25"/>
      <c r="C14" s="25"/>
      <c r="D14" s="26"/>
    </row>
    <row r="15" spans="1:12">
      <c r="A15" s="20" t="s">
        <v>214</v>
      </c>
      <c r="B15" s="21" t="s">
        <v>191</v>
      </c>
      <c r="C15" s="21" t="s">
        <v>215</v>
      </c>
      <c r="D15" s="23" t="s">
        <v>216</v>
      </c>
    </row>
    <row r="16" spans="1:12" ht="24">
      <c r="A16" s="20" t="s">
        <v>217</v>
      </c>
      <c r="B16" s="21" t="s">
        <v>191</v>
      </c>
      <c r="C16" s="21" t="s">
        <v>218</v>
      </c>
      <c r="D16" s="23" t="s">
        <v>216</v>
      </c>
    </row>
    <row r="17" spans="1:12" ht="24">
      <c r="A17" s="20" t="s">
        <v>219</v>
      </c>
      <c r="B17" s="21" t="s">
        <v>191</v>
      </c>
      <c r="C17" s="21" t="s">
        <v>220</v>
      </c>
      <c r="D17" s="23" t="s">
        <v>151</v>
      </c>
    </row>
    <row r="18" spans="1:12">
      <c r="A18" s="20" t="s">
        <v>221</v>
      </c>
      <c r="B18" s="21" t="s">
        <v>198</v>
      </c>
      <c r="C18" s="21" t="s">
        <v>222</v>
      </c>
      <c r="D18" s="23" t="s">
        <v>216</v>
      </c>
    </row>
    <row r="19" spans="1:12" ht="24">
      <c r="A19" s="20" t="s">
        <v>223</v>
      </c>
      <c r="B19" s="21" t="s">
        <v>198</v>
      </c>
      <c r="C19" s="21" t="s">
        <v>224</v>
      </c>
      <c r="D19" s="23" t="s">
        <v>225</v>
      </c>
    </row>
    <row r="20" spans="1:12">
      <c r="A20" s="20" t="s">
        <v>226</v>
      </c>
      <c r="B20" s="21" t="s">
        <v>198</v>
      </c>
      <c r="C20" s="21" t="s">
        <v>227</v>
      </c>
      <c r="D20" s="23" t="s">
        <v>225</v>
      </c>
    </row>
    <row r="21" spans="1:12">
      <c r="A21" s="24" t="s">
        <v>228</v>
      </c>
      <c r="B21" s="25"/>
      <c r="C21" s="25"/>
      <c r="D21" s="26"/>
    </row>
    <row r="22" spans="1:12">
      <c r="A22" s="20" t="s">
        <v>229</v>
      </c>
      <c r="B22" s="21" t="s">
        <v>191</v>
      </c>
      <c r="C22" s="21" t="s">
        <v>230</v>
      </c>
      <c r="D22" s="23" t="s">
        <v>231</v>
      </c>
    </row>
    <row r="23" spans="1:12">
      <c r="A23" s="20" t="s">
        <v>232</v>
      </c>
      <c r="B23" s="21" t="s">
        <v>191</v>
      </c>
      <c r="C23" s="21" t="s">
        <v>233</v>
      </c>
      <c r="D23" s="23" t="s">
        <v>96</v>
      </c>
    </row>
    <row r="24" spans="1:12">
      <c r="A24" s="20" t="s">
        <v>234</v>
      </c>
      <c r="B24" s="21" t="s">
        <v>191</v>
      </c>
      <c r="C24" s="21" t="s">
        <v>235</v>
      </c>
      <c r="D24" s="23" t="s">
        <v>67</v>
      </c>
    </row>
    <row r="25" spans="1:12" ht="24">
      <c r="A25" s="20" t="s">
        <v>236</v>
      </c>
      <c r="B25" s="21" t="s">
        <v>191</v>
      </c>
      <c r="C25" s="21" t="s">
        <v>237</v>
      </c>
      <c r="D25" s="23" t="s">
        <v>84</v>
      </c>
    </row>
    <row r="28" spans="1:12" ht="36.75" customHeight="1" thickBot="1">
      <c r="A28" s="377" t="s">
        <v>238</v>
      </c>
      <c r="B28" s="378"/>
      <c r="C28" s="378"/>
      <c r="D28" s="378"/>
      <c r="E28" s="378"/>
      <c r="F28" s="378"/>
      <c r="G28" s="378"/>
      <c r="H28" s="378"/>
      <c r="I28" s="378"/>
      <c r="J28" s="378"/>
      <c r="K28" s="378"/>
      <c r="L28" s="378"/>
    </row>
    <row r="29" spans="1:12" s="15" customFormat="1">
      <c r="A29" s="15" t="s">
        <v>239</v>
      </c>
    </row>
    <row r="31" spans="1:12">
      <c r="A31" s="48" t="s">
        <v>240</v>
      </c>
      <c r="B31" s="49" t="s">
        <v>241</v>
      </c>
      <c r="C31" s="49" t="s">
        <v>242</v>
      </c>
      <c r="D31" s="50" t="s">
        <v>243</v>
      </c>
    </row>
    <row r="32" spans="1:12">
      <c r="A32" s="390" t="s">
        <v>244</v>
      </c>
      <c r="B32" s="269" t="s">
        <v>245</v>
      </c>
      <c r="C32" s="386" t="s">
        <v>246</v>
      </c>
      <c r="D32" s="387" t="s">
        <v>247</v>
      </c>
    </row>
    <row r="33" spans="1:4">
      <c r="A33" s="391"/>
      <c r="B33" s="28" t="s">
        <v>248</v>
      </c>
      <c r="C33" s="373"/>
      <c r="D33" s="388"/>
    </row>
    <row r="34" spans="1:4">
      <c r="A34" s="391"/>
      <c r="B34" s="28" t="s">
        <v>249</v>
      </c>
      <c r="C34" s="373"/>
      <c r="D34" s="388"/>
    </row>
    <row r="35" spans="1:4">
      <c r="A35" s="391"/>
      <c r="B35" s="28" t="s">
        <v>250</v>
      </c>
      <c r="C35" s="373"/>
      <c r="D35" s="388"/>
    </row>
    <row r="36" spans="1:4">
      <c r="A36" s="391"/>
      <c r="B36" s="28" t="s">
        <v>251</v>
      </c>
      <c r="C36" s="373"/>
      <c r="D36" s="388"/>
    </row>
    <row r="37" spans="1:4">
      <c r="A37" s="391"/>
      <c r="B37" s="28" t="s">
        <v>252</v>
      </c>
      <c r="C37" s="373"/>
      <c r="D37" s="388"/>
    </row>
    <row r="38" spans="1:4">
      <c r="A38" s="391"/>
      <c r="B38" s="28" t="s">
        <v>253</v>
      </c>
      <c r="C38" s="373"/>
      <c r="D38" s="388"/>
    </row>
    <row r="39" spans="1:4">
      <c r="A39" s="390" t="s">
        <v>254</v>
      </c>
      <c r="B39" s="269" t="s">
        <v>255</v>
      </c>
      <c r="C39" s="386" t="s">
        <v>256</v>
      </c>
      <c r="D39" s="388"/>
    </row>
    <row r="40" spans="1:4">
      <c r="A40" s="391"/>
      <c r="B40" s="28" t="s">
        <v>257</v>
      </c>
      <c r="C40" s="373"/>
      <c r="D40" s="388"/>
    </row>
    <row r="41" spans="1:4">
      <c r="A41" s="391"/>
      <c r="B41" s="28" t="s">
        <v>258</v>
      </c>
      <c r="C41" s="373"/>
      <c r="D41" s="388"/>
    </row>
    <row r="42" spans="1:4">
      <c r="A42" s="391"/>
      <c r="B42" s="28" t="s">
        <v>252</v>
      </c>
      <c r="C42" s="373"/>
      <c r="D42" s="388"/>
    </row>
    <row r="43" spans="1:4">
      <c r="A43" s="391"/>
      <c r="B43" s="28" t="s">
        <v>253</v>
      </c>
      <c r="C43" s="373"/>
      <c r="D43" s="388"/>
    </row>
    <row r="44" spans="1:4" ht="24">
      <c r="A44" s="271" t="s">
        <v>259</v>
      </c>
      <c r="B44" s="270" t="s">
        <v>260</v>
      </c>
      <c r="C44" s="270" t="s">
        <v>261</v>
      </c>
      <c r="D44" s="388"/>
    </row>
    <row r="45" spans="1:4" ht="24">
      <c r="A45" s="272" t="s">
        <v>262</v>
      </c>
      <c r="B45" s="270" t="s">
        <v>253</v>
      </c>
      <c r="C45" s="270" t="s">
        <v>263</v>
      </c>
      <c r="D45" s="389"/>
    </row>
    <row r="46" spans="1:4" ht="54.75" customHeight="1">
      <c r="A46" s="392" t="s">
        <v>264</v>
      </c>
      <c r="B46" s="392"/>
      <c r="C46" s="392"/>
      <c r="D46" s="392"/>
    </row>
    <row r="49" spans="1:12" ht="36.75" customHeight="1" thickBot="1">
      <c r="A49" s="377" t="s">
        <v>265</v>
      </c>
      <c r="B49" s="378"/>
      <c r="C49" s="378"/>
      <c r="D49" s="378"/>
      <c r="E49" s="378"/>
      <c r="F49" s="378"/>
      <c r="G49" s="378"/>
      <c r="H49" s="378"/>
      <c r="I49" s="378"/>
      <c r="J49" s="378"/>
      <c r="K49" s="378"/>
      <c r="L49" s="378"/>
    </row>
    <row r="50" spans="1:12" s="15" customFormat="1">
      <c r="A50" s="15" t="s">
        <v>266</v>
      </c>
    </row>
    <row r="52" spans="1:12">
      <c r="A52" s="29" t="s">
        <v>267</v>
      </c>
      <c r="B52" s="268" t="s">
        <v>268</v>
      </c>
      <c r="C52" s="30" t="s">
        <v>269</v>
      </c>
      <c r="D52" s="31" t="s">
        <v>270</v>
      </c>
    </row>
    <row r="53" spans="1:12">
      <c r="A53" s="32" t="s">
        <v>271</v>
      </c>
      <c r="B53" s="136">
        <v>1193</v>
      </c>
      <c r="C53" s="33" t="s">
        <v>272</v>
      </c>
      <c r="D53" s="34" t="s">
        <v>273</v>
      </c>
    </row>
    <row r="54" spans="1:12">
      <c r="A54" s="32" t="s">
        <v>274</v>
      </c>
      <c r="B54" s="73" t="s">
        <v>275</v>
      </c>
      <c r="C54" s="33"/>
      <c r="D54" s="34"/>
    </row>
    <row r="55" spans="1:12">
      <c r="A55" s="379" t="s">
        <v>276</v>
      </c>
      <c r="B55" s="380"/>
      <c r="C55" s="380"/>
      <c r="D55" s="381"/>
    </row>
    <row r="56" spans="1:12">
      <c r="A56" s="382" t="s">
        <v>1174</v>
      </c>
      <c r="B56" s="383"/>
      <c r="C56" s="384" t="s">
        <v>277</v>
      </c>
      <c r="D56" s="385"/>
    </row>
    <row r="57" spans="1:12">
      <c r="A57" s="382" t="s">
        <v>278</v>
      </c>
      <c r="B57" s="383"/>
      <c r="C57" s="384" t="s">
        <v>279</v>
      </c>
      <c r="D57" s="385"/>
    </row>
    <row r="58" spans="1:12">
      <c r="A58" s="382" t="s">
        <v>280</v>
      </c>
      <c r="B58" s="383"/>
      <c r="C58" s="384" t="s">
        <v>281</v>
      </c>
      <c r="D58" s="385"/>
    </row>
    <row r="59" spans="1:12">
      <c r="A59" s="382" t="s">
        <v>282</v>
      </c>
      <c r="B59" s="383"/>
      <c r="C59" s="384" t="s">
        <v>283</v>
      </c>
      <c r="D59" s="385"/>
    </row>
    <row r="60" spans="1:12">
      <c r="A60" s="395" t="s">
        <v>284</v>
      </c>
      <c r="B60" s="396"/>
      <c r="C60" s="397" t="s">
        <v>285</v>
      </c>
      <c r="D60" s="398"/>
    </row>
    <row r="63" spans="1:12" ht="36.75" customHeight="1" thickBot="1">
      <c r="A63" s="377" t="s">
        <v>286</v>
      </c>
      <c r="B63" s="378"/>
      <c r="C63" s="378"/>
      <c r="D63" s="378"/>
      <c r="E63" s="378"/>
      <c r="F63" s="378"/>
      <c r="G63" s="378"/>
      <c r="H63" s="378"/>
      <c r="I63" s="378"/>
      <c r="J63" s="378"/>
      <c r="K63" s="378"/>
      <c r="L63" s="378"/>
    </row>
    <row r="64" spans="1:12" s="15" customFormat="1">
      <c r="A64" s="15" t="s">
        <v>287</v>
      </c>
    </row>
    <row r="66" spans="1:12">
      <c r="A66" s="54" t="s">
        <v>288</v>
      </c>
      <c r="B66" s="54" t="s">
        <v>289</v>
      </c>
      <c r="C66" s="54" t="s">
        <v>290</v>
      </c>
    </row>
    <row r="67" spans="1:12" ht="108">
      <c r="A67" s="36" t="s">
        <v>291</v>
      </c>
      <c r="B67" s="28" t="s">
        <v>292</v>
      </c>
      <c r="C67" s="36" t="s">
        <v>293</v>
      </c>
    </row>
    <row r="68" spans="1:12" ht="48">
      <c r="A68" s="36" t="s">
        <v>294</v>
      </c>
      <c r="B68" s="28" t="s">
        <v>295</v>
      </c>
      <c r="C68" s="28" t="s">
        <v>296</v>
      </c>
    </row>
    <row r="70" spans="1:12">
      <c r="A70" s="55" t="s">
        <v>297</v>
      </c>
      <c r="B70" s="56" t="s">
        <v>289</v>
      </c>
    </row>
    <row r="71" spans="1:12" ht="60">
      <c r="A71" s="37" t="s">
        <v>298</v>
      </c>
      <c r="B71" s="28" t="s">
        <v>299</v>
      </c>
    </row>
    <row r="72" spans="1:12" ht="60">
      <c r="A72" s="37" t="s">
        <v>300</v>
      </c>
      <c r="B72" s="28" t="s">
        <v>301</v>
      </c>
    </row>
    <row r="73" spans="1:12" ht="69.75" customHeight="1">
      <c r="A73" s="37" t="s">
        <v>302</v>
      </c>
      <c r="B73" s="28" t="s">
        <v>303</v>
      </c>
    </row>
    <row r="74" spans="1:12" ht="48">
      <c r="A74" s="37" t="s">
        <v>304</v>
      </c>
      <c r="B74" s="28" t="s">
        <v>305</v>
      </c>
    </row>
    <row r="75" spans="1:12" ht="72">
      <c r="A75" s="37" t="s">
        <v>306</v>
      </c>
      <c r="B75" s="28" t="s">
        <v>307</v>
      </c>
    </row>
    <row r="76" spans="1:12" ht="48">
      <c r="A76" s="37" t="s">
        <v>308</v>
      </c>
      <c r="B76" s="28" t="s">
        <v>309</v>
      </c>
    </row>
    <row r="77" spans="1:12" ht="48">
      <c r="A77" s="37" t="s">
        <v>310</v>
      </c>
      <c r="B77" s="28" t="s">
        <v>311</v>
      </c>
    </row>
    <row r="80" spans="1:12" ht="36.75" customHeight="1" thickBot="1">
      <c r="A80" s="377" t="s">
        <v>312</v>
      </c>
      <c r="B80" s="378"/>
      <c r="C80" s="378"/>
      <c r="D80" s="378"/>
      <c r="E80" s="378"/>
      <c r="F80" s="378"/>
      <c r="G80" s="378"/>
      <c r="H80" s="378"/>
      <c r="I80" s="378"/>
      <c r="J80" s="378"/>
      <c r="K80" s="378"/>
      <c r="L80" s="378"/>
    </row>
    <row r="81" spans="1:5" s="15" customFormat="1">
      <c r="A81" s="15" t="s">
        <v>313</v>
      </c>
    </row>
    <row r="83" spans="1:5">
      <c r="A83" s="57" t="s">
        <v>314</v>
      </c>
      <c r="B83" s="58" t="s">
        <v>315</v>
      </c>
      <c r="C83" s="58" t="s">
        <v>316</v>
      </c>
      <c r="D83" s="58" t="s">
        <v>317</v>
      </c>
      <c r="E83" s="59" t="s">
        <v>318</v>
      </c>
    </row>
    <row r="84" spans="1:5">
      <c r="A84" s="38" t="s">
        <v>319</v>
      </c>
      <c r="B84" s="39" t="s">
        <v>320</v>
      </c>
      <c r="C84" s="39" t="s">
        <v>321</v>
      </c>
      <c r="D84" s="27" t="s">
        <v>322</v>
      </c>
      <c r="E84" s="40" t="s">
        <v>323</v>
      </c>
    </row>
    <row r="85" spans="1:5" ht="72">
      <c r="A85" s="38" t="s">
        <v>324</v>
      </c>
      <c r="B85" s="39" t="s">
        <v>325</v>
      </c>
      <c r="C85" s="39" t="s">
        <v>326</v>
      </c>
      <c r="D85" s="39" t="s">
        <v>327</v>
      </c>
      <c r="E85" s="40" t="s">
        <v>323</v>
      </c>
    </row>
    <row r="86" spans="1:5" ht="24">
      <c r="A86" s="38" t="s">
        <v>328</v>
      </c>
      <c r="B86" s="39" t="s">
        <v>329</v>
      </c>
      <c r="C86" s="39" t="s">
        <v>330</v>
      </c>
      <c r="D86" s="27" t="s">
        <v>331</v>
      </c>
      <c r="E86" s="40" t="s">
        <v>332</v>
      </c>
    </row>
    <row r="87" spans="1:5" ht="72">
      <c r="A87" s="38" t="s">
        <v>333</v>
      </c>
      <c r="B87" s="41" t="s">
        <v>334</v>
      </c>
      <c r="C87" s="39" t="s">
        <v>335</v>
      </c>
      <c r="D87" s="27" t="s">
        <v>336</v>
      </c>
      <c r="E87" s="40" t="s">
        <v>337</v>
      </c>
    </row>
    <row r="88" spans="1:5" ht="60">
      <c r="A88" s="38" t="s">
        <v>338</v>
      </c>
      <c r="B88" s="39" t="s">
        <v>339</v>
      </c>
      <c r="C88" s="39" t="s">
        <v>326</v>
      </c>
      <c r="D88" s="27" t="s">
        <v>340</v>
      </c>
      <c r="E88" s="40" t="s">
        <v>337</v>
      </c>
    </row>
    <row r="89" spans="1:5" ht="24">
      <c r="A89" s="38" t="s">
        <v>341</v>
      </c>
      <c r="B89" s="39" t="s">
        <v>342</v>
      </c>
      <c r="C89" s="39" t="s">
        <v>343</v>
      </c>
      <c r="D89" s="27" t="s">
        <v>344</v>
      </c>
      <c r="E89" s="40" t="s">
        <v>337</v>
      </c>
    </row>
    <row r="90" spans="1:5" ht="115.5" customHeight="1">
      <c r="A90" s="38" t="s">
        <v>345</v>
      </c>
      <c r="B90" s="41" t="s">
        <v>346</v>
      </c>
      <c r="C90" s="39" t="s">
        <v>343</v>
      </c>
      <c r="D90" s="27" t="s">
        <v>347</v>
      </c>
      <c r="E90" s="40" t="s">
        <v>337</v>
      </c>
    </row>
    <row r="91" spans="1:5" ht="84">
      <c r="A91" s="38" t="s">
        <v>348</v>
      </c>
      <c r="B91" s="39" t="s">
        <v>349</v>
      </c>
      <c r="C91" s="39" t="s">
        <v>350</v>
      </c>
      <c r="D91" s="27" t="s">
        <v>351</v>
      </c>
      <c r="E91" s="40" t="s">
        <v>337</v>
      </c>
    </row>
    <row r="92" spans="1:5" ht="60">
      <c r="A92" s="38" t="s">
        <v>352</v>
      </c>
      <c r="B92" s="39" t="s">
        <v>353</v>
      </c>
      <c r="C92" s="39" t="s">
        <v>326</v>
      </c>
      <c r="D92" s="27" t="s">
        <v>354</v>
      </c>
      <c r="E92" s="40" t="s">
        <v>323</v>
      </c>
    </row>
    <row r="93" spans="1:5" ht="84">
      <c r="A93" s="38" t="s">
        <v>355</v>
      </c>
      <c r="B93" s="39" t="s">
        <v>356</v>
      </c>
      <c r="C93" s="39" t="s">
        <v>343</v>
      </c>
      <c r="D93" s="27" t="s">
        <v>357</v>
      </c>
      <c r="E93" s="40" t="s">
        <v>323</v>
      </c>
    </row>
    <row r="94" spans="1:5" ht="84">
      <c r="A94" s="42" t="s">
        <v>358</v>
      </c>
      <c r="B94" s="43" t="s">
        <v>359</v>
      </c>
      <c r="C94" s="43" t="s">
        <v>350</v>
      </c>
      <c r="D94" s="21" t="s">
        <v>360</v>
      </c>
      <c r="E94" s="44" t="s">
        <v>337</v>
      </c>
    </row>
    <row r="97" spans="1:12" ht="36.75" customHeight="1" thickBot="1">
      <c r="A97" s="377" t="s">
        <v>361</v>
      </c>
      <c r="B97" s="378"/>
      <c r="C97" s="378"/>
      <c r="D97" s="378"/>
      <c r="E97" s="378"/>
      <c r="F97" s="378"/>
      <c r="G97" s="378"/>
      <c r="H97" s="378"/>
      <c r="I97" s="378"/>
      <c r="J97" s="378"/>
      <c r="K97" s="378"/>
      <c r="L97" s="378"/>
    </row>
    <row r="98" spans="1:12" s="15" customFormat="1">
      <c r="A98" s="15" t="s">
        <v>362</v>
      </c>
    </row>
    <row r="100" spans="1:12">
      <c r="A100" s="57" t="s">
        <v>363</v>
      </c>
      <c r="B100" s="57" t="s">
        <v>364</v>
      </c>
    </row>
    <row r="101" spans="1:12" ht="48.75">
      <c r="A101" s="46" t="s">
        <v>120</v>
      </c>
      <c r="B101" s="47" t="s">
        <v>365</v>
      </c>
    </row>
    <row r="102" spans="1:12" ht="36.75">
      <c r="A102" s="46" t="s">
        <v>216</v>
      </c>
      <c r="B102" s="47" t="s">
        <v>366</v>
      </c>
    </row>
    <row r="103" spans="1:12" ht="24.75">
      <c r="A103" s="46" t="s">
        <v>58</v>
      </c>
      <c r="B103" s="47" t="s">
        <v>367</v>
      </c>
    </row>
    <row r="104" spans="1:12" ht="24.75">
      <c r="A104" s="46" t="s">
        <v>151</v>
      </c>
      <c r="B104" s="47" t="s">
        <v>368</v>
      </c>
    </row>
    <row r="105" spans="1:12" ht="36.75">
      <c r="A105" s="46" t="s">
        <v>67</v>
      </c>
      <c r="B105" s="47" t="s">
        <v>369</v>
      </c>
    </row>
    <row r="106" spans="1:12">
      <c r="A106" s="46" t="s">
        <v>370</v>
      </c>
      <c r="B106" s="12" t="s">
        <v>371</v>
      </c>
    </row>
    <row r="107" spans="1:12" ht="24.75">
      <c r="A107" s="46" t="s">
        <v>46</v>
      </c>
      <c r="B107" s="47" t="s">
        <v>372</v>
      </c>
    </row>
    <row r="108" spans="1:12" ht="36.75">
      <c r="A108" s="46" t="s">
        <v>34</v>
      </c>
      <c r="B108" s="47" t="s">
        <v>373</v>
      </c>
    </row>
    <row r="109" spans="1:12">
      <c r="A109" s="46" t="s">
        <v>50</v>
      </c>
      <c r="B109" s="12" t="s">
        <v>374</v>
      </c>
    </row>
    <row r="110" spans="1:12" ht="84.75">
      <c r="A110" s="46" t="s">
        <v>104</v>
      </c>
      <c r="B110" s="47" t="s">
        <v>375</v>
      </c>
    </row>
    <row r="111" spans="1:12">
      <c r="A111" s="46" t="s">
        <v>54</v>
      </c>
      <c r="B111" s="12" t="s">
        <v>376</v>
      </c>
    </row>
    <row r="112" spans="1:12" ht="36.75">
      <c r="A112" s="46" t="s">
        <v>84</v>
      </c>
      <c r="B112" s="47" t="s">
        <v>377</v>
      </c>
    </row>
    <row r="113" spans="1:2" ht="24.75">
      <c r="A113" s="46" t="s">
        <v>96</v>
      </c>
      <c r="B113" s="47" t="s">
        <v>378</v>
      </c>
    </row>
    <row r="114" spans="1:2" ht="36.75">
      <c r="A114" s="46" t="s">
        <v>379</v>
      </c>
      <c r="B114" s="47" t="s">
        <v>380</v>
      </c>
    </row>
    <row r="115" spans="1:2" ht="124.5" customHeight="1">
      <c r="A115" s="393" t="s">
        <v>381</v>
      </c>
      <c r="B115" s="394"/>
    </row>
  </sheetData>
  <mergeCells count="24">
    <mergeCell ref="A97:L97"/>
    <mergeCell ref="A115:B115"/>
    <mergeCell ref="A80:L80"/>
    <mergeCell ref="A63:L63"/>
    <mergeCell ref="A58:B58"/>
    <mergeCell ref="C58:D58"/>
    <mergeCell ref="A59:B59"/>
    <mergeCell ref="C59:D59"/>
    <mergeCell ref="A60:B60"/>
    <mergeCell ref="C60:D60"/>
    <mergeCell ref="A57:B57"/>
    <mergeCell ref="C57:D57"/>
    <mergeCell ref="A49:L49"/>
    <mergeCell ref="D32:D45"/>
    <mergeCell ref="A32:A38"/>
    <mergeCell ref="A39:A43"/>
    <mergeCell ref="A46:D46"/>
    <mergeCell ref="A28:L28"/>
    <mergeCell ref="A1:L1"/>
    <mergeCell ref="A55:D55"/>
    <mergeCell ref="A56:B56"/>
    <mergeCell ref="C56:D56"/>
    <mergeCell ref="C32:C38"/>
    <mergeCell ref="C39:C43"/>
  </mergeCells>
  <hyperlinks>
    <hyperlink ref="D5" r:id="rId1" display="http://www.calibremining.com/" xr:uid="{DC0E01BA-75B4-4DC4-8FDC-3A393F16962A}"/>
    <hyperlink ref="A67" r:id="rId2" display="https://www.gold.org/" xr:uid="{E01AEE6D-9149-482F-8AF3-49CC273B4781}"/>
    <hyperlink ref="C67" r:id="rId3" display="https://www.calibremining.com/esg/overview/" xr:uid="{BF837D3D-3DED-479F-88D9-E685A1DC17EE}"/>
    <hyperlink ref="A68" r:id="rId4" display="http://caminic.com/" xr:uid="{87396ED7-F120-4601-B592-71054CD88ABA}"/>
    <hyperlink ref="A71" r:id="rId5" display="https://www.ohchr.org/documents/publications/guidingprinciplesbusinesshr_en.pdf" xr:uid="{8D9C8302-78E2-4989-A3F1-53518F76A15A}"/>
    <hyperlink ref="A72" r:id="rId6" display="https://www.voluntaryprinciples.org/" xr:uid="{B8E67245-5D2D-4B9F-82DF-11481637E868}"/>
    <hyperlink ref="A75" r:id="rId7" display="https://cyanidecode.org/" xr:uid="{E401706D-D6FF-496C-B28E-57A1F0367E2A}"/>
    <hyperlink ref="A76" r:id="rId8" display="https://www.ifrs.org/" xr:uid="{17F59836-06A4-4BA8-B113-5DFE3342D60A}"/>
    <hyperlink ref="A77" r:id="rId9" display="https://sdgs.un.org/goals" xr:uid="{F130E1DB-69B5-4FB2-94B9-17E5D387FFBE}"/>
    <hyperlink ref="A73" r:id="rId10" xr:uid="{B7AA47E8-AB68-47D0-B2B1-F08ECF57D99A}"/>
    <hyperlink ref="A74" r:id="rId11" xr:uid="{2491E927-FBFB-4DA9-B75E-B37EFC07A53E}"/>
  </hyperlinks>
  <pageMargins left="0.7" right="0.7" top="0.75" bottom="0.75" header="0.3" footer="0.3"/>
  <pageSetup orientation="portrait" r:id="rId12"/>
  <drawing r:id="rId13"/>
  <tableParts count="3">
    <tablePart r:id="rId14"/>
    <tablePart r:id="rId15"/>
    <tablePart r:id="rId1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D0DB-4E1B-49D1-8137-4308981439AA}">
  <dimension ref="A1:L21"/>
  <sheetViews>
    <sheetView showGridLines="0" zoomScale="70" zoomScaleNormal="70" workbookViewId="0">
      <selection activeCell="F7" sqref="F7"/>
    </sheetView>
  </sheetViews>
  <sheetFormatPr baseColWidth="10" defaultColWidth="11.42578125" defaultRowHeight="15"/>
  <cols>
    <col min="1" max="1" width="23.42578125" style="10" customWidth="1"/>
    <col min="2" max="2" width="25.140625" style="10" customWidth="1"/>
    <col min="3" max="3" width="28.42578125" style="10" customWidth="1"/>
    <col min="4" max="4" width="20" style="10" customWidth="1"/>
    <col min="5" max="5" width="45.42578125" style="10" customWidth="1"/>
    <col min="6" max="6" width="68" style="10" customWidth="1"/>
    <col min="7" max="7" width="26.7109375" style="10" customWidth="1"/>
    <col min="8" max="16384" width="11.42578125" style="10"/>
  </cols>
  <sheetData>
    <row r="1" spans="1:12" ht="36.75" customHeight="1" thickBot="1">
      <c r="A1" s="377" t="s">
        <v>382</v>
      </c>
      <c r="B1" s="378"/>
      <c r="C1" s="378"/>
      <c r="D1" s="378"/>
      <c r="E1" s="378"/>
      <c r="F1" s="378"/>
      <c r="G1" s="378"/>
      <c r="H1" s="378"/>
      <c r="I1" s="378"/>
      <c r="J1" s="378"/>
      <c r="K1" s="378"/>
      <c r="L1" s="378"/>
    </row>
    <row r="2" spans="1:12" s="15" customFormat="1">
      <c r="A2" s="15" t="s">
        <v>383</v>
      </c>
    </row>
    <row r="4" spans="1:12">
      <c r="A4" s="70" t="s">
        <v>384</v>
      </c>
      <c r="B4" s="70" t="s">
        <v>385</v>
      </c>
      <c r="C4" s="70" t="s">
        <v>242</v>
      </c>
      <c r="D4" s="70" t="s">
        <v>386</v>
      </c>
      <c r="E4" s="70" t="s">
        <v>387</v>
      </c>
      <c r="F4" s="70" t="s">
        <v>388</v>
      </c>
    </row>
    <row r="5" spans="1:12" ht="72">
      <c r="A5" s="61" t="s">
        <v>244</v>
      </c>
      <c r="B5" s="61" t="s">
        <v>389</v>
      </c>
      <c r="C5" s="28" t="s">
        <v>390</v>
      </c>
      <c r="D5" s="62">
        <v>378</v>
      </c>
      <c r="E5" s="63" t="s">
        <v>391</v>
      </c>
      <c r="F5" s="28" t="s">
        <v>392</v>
      </c>
    </row>
    <row r="6" spans="1:12" ht="120">
      <c r="A6" s="61" t="s">
        <v>254</v>
      </c>
      <c r="B6" s="61" t="s">
        <v>389</v>
      </c>
      <c r="C6" s="28" t="s">
        <v>393</v>
      </c>
      <c r="D6" s="62">
        <v>3259</v>
      </c>
      <c r="E6" s="63" t="s">
        <v>394</v>
      </c>
      <c r="F6" s="63" t="s">
        <v>395</v>
      </c>
    </row>
    <row r="7" spans="1:12" ht="120">
      <c r="A7" s="61" t="s">
        <v>259</v>
      </c>
      <c r="B7" s="61" t="s">
        <v>389</v>
      </c>
      <c r="C7" s="28" t="s">
        <v>396</v>
      </c>
      <c r="D7" s="62">
        <v>103</v>
      </c>
      <c r="E7" s="63" t="s">
        <v>397</v>
      </c>
      <c r="F7" s="63" t="s">
        <v>398</v>
      </c>
    </row>
    <row r="8" spans="1:12" ht="120">
      <c r="A8" s="61" t="s">
        <v>262</v>
      </c>
      <c r="B8" s="61" t="s">
        <v>399</v>
      </c>
      <c r="C8" s="28" t="s">
        <v>400</v>
      </c>
      <c r="D8" s="62">
        <v>686</v>
      </c>
      <c r="E8" s="63" t="s">
        <v>397</v>
      </c>
      <c r="F8" s="61" t="s">
        <v>401</v>
      </c>
    </row>
    <row r="11" spans="1:12" ht="20.25" thickBot="1">
      <c r="A11" s="377" t="s">
        <v>402</v>
      </c>
      <c r="B11" s="378"/>
      <c r="C11" s="378"/>
      <c r="D11" s="378"/>
      <c r="E11" s="378"/>
      <c r="F11" s="378"/>
      <c r="G11" s="378"/>
      <c r="H11" s="378"/>
      <c r="I11" s="378"/>
      <c r="J11" s="378"/>
      <c r="K11" s="378"/>
      <c r="L11" s="378"/>
    </row>
    <row r="12" spans="1:12" s="15" customFormat="1">
      <c r="A12" s="15" t="s">
        <v>403</v>
      </c>
    </row>
    <row r="14" spans="1:12" ht="32.25" customHeight="1">
      <c r="A14" s="393" t="s">
        <v>404</v>
      </c>
      <c r="B14" s="393"/>
      <c r="C14" s="393"/>
      <c r="D14" s="393"/>
      <c r="E14" s="393"/>
      <c r="F14" s="393"/>
      <c r="G14" s="393"/>
      <c r="H14" s="393"/>
      <c r="I14" s="393"/>
      <c r="J14" s="393"/>
      <c r="K14" s="393"/>
      <c r="L14" s="393"/>
    </row>
    <row r="15" spans="1:12" ht="30" customHeight="1">
      <c r="A15" s="399" t="s">
        <v>405</v>
      </c>
      <c r="B15" s="399"/>
      <c r="C15" s="399"/>
      <c r="D15" s="399"/>
      <c r="E15" s="399"/>
      <c r="F15" s="399"/>
      <c r="G15" s="399"/>
      <c r="H15" s="399"/>
      <c r="I15" s="399"/>
      <c r="J15" s="399"/>
      <c r="K15" s="399"/>
      <c r="L15" s="399"/>
    </row>
    <row r="16" spans="1:12" s="64" customFormat="1">
      <c r="A16" s="60" t="s">
        <v>406</v>
      </c>
      <c r="B16" s="60" t="s">
        <v>407</v>
      </c>
      <c r="C16" s="60" t="s">
        <v>408</v>
      </c>
      <c r="D16" s="60" t="s">
        <v>409</v>
      </c>
      <c r="E16" s="60" t="s">
        <v>410</v>
      </c>
      <c r="F16" s="60" t="s">
        <v>411</v>
      </c>
      <c r="G16" s="60" t="s">
        <v>412</v>
      </c>
    </row>
    <row r="17" spans="1:7">
      <c r="A17" s="61" t="s">
        <v>413</v>
      </c>
      <c r="B17" s="65">
        <v>17204.22</v>
      </c>
      <c r="C17" s="65">
        <v>3.5190000000000001</v>
      </c>
      <c r="D17" s="65">
        <v>60541.64</v>
      </c>
      <c r="E17" s="65">
        <v>1.72</v>
      </c>
      <c r="F17" s="65">
        <v>4.32</v>
      </c>
      <c r="G17" s="65">
        <v>74322.22</v>
      </c>
    </row>
    <row r="18" spans="1:7">
      <c r="A18" s="61" t="s">
        <v>414</v>
      </c>
      <c r="B18" s="65">
        <v>536.85</v>
      </c>
      <c r="C18" s="65">
        <v>3.5190000000000001</v>
      </c>
      <c r="D18" s="65">
        <v>1889.16</v>
      </c>
      <c r="E18" s="65">
        <v>0.05</v>
      </c>
      <c r="F18" s="65">
        <v>4.32</v>
      </c>
      <c r="G18" s="65">
        <v>2319.17</v>
      </c>
    </row>
    <row r="19" spans="1:7">
      <c r="A19" s="61" t="s">
        <v>415</v>
      </c>
      <c r="B19" s="65">
        <v>842.37</v>
      </c>
      <c r="C19" s="65">
        <v>3.5190000000000001</v>
      </c>
      <c r="D19" s="65">
        <v>2964.31</v>
      </c>
      <c r="E19" s="65">
        <v>0.08</v>
      </c>
      <c r="F19" s="65">
        <v>4.32</v>
      </c>
      <c r="G19" s="65">
        <v>3639.05</v>
      </c>
    </row>
    <row r="20" spans="1:7" s="45" customFormat="1" ht="12.75" thickBot="1">
      <c r="A20" s="66" t="s">
        <v>416</v>
      </c>
      <c r="B20" s="67">
        <f>SUBTOTAL(109,Tabla48[Ore Purchased (tonnes)])</f>
        <v>18583.439999999999</v>
      </c>
      <c r="C20" s="68"/>
      <c r="D20" s="67">
        <f>SUBTOTAL(109,Tabla48[Total Hg (ounces)])</f>
        <v>65395.11</v>
      </c>
      <c r="E20" s="69">
        <f>SUBTOTAL(109,Tabla48[Total Hg (tonnes)])</f>
        <v>1.85</v>
      </c>
      <c r="F20" s="68"/>
      <c r="G20" s="67">
        <f>SUBTOTAL(109,Tabla48[Total H2O (cubic meters)])</f>
        <v>80280.44</v>
      </c>
    </row>
    <row r="21" spans="1:7" ht="45.75" customHeight="1" thickTop="1">
      <c r="A21" s="400" t="s">
        <v>417</v>
      </c>
      <c r="B21" s="401"/>
      <c r="C21" s="401"/>
      <c r="D21" s="401"/>
      <c r="E21" s="401"/>
      <c r="F21" s="401"/>
      <c r="G21" s="401"/>
    </row>
  </sheetData>
  <mergeCells count="5">
    <mergeCell ref="A11:L11"/>
    <mergeCell ref="A14:L14"/>
    <mergeCell ref="A15:L15"/>
    <mergeCell ref="A21:G21"/>
    <mergeCell ref="A1:L1"/>
  </mergeCells>
  <pageMargins left="0.7" right="0.7" top="0.75" bottom="0.75" header="0.3" footer="0.3"/>
  <pageSetup orientation="portrait" r:id="rId1"/>
  <drawing r:id="rId2"/>
  <legacyDrawing r:id="rId3"/>
  <tableParts count="2">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691C1-15FD-499F-965A-AE8A1E365BAE}">
  <dimension ref="A1:L45"/>
  <sheetViews>
    <sheetView showGridLines="0" zoomScale="70" zoomScaleNormal="70" workbookViewId="0">
      <selection activeCell="A6" sqref="A6"/>
    </sheetView>
  </sheetViews>
  <sheetFormatPr baseColWidth="10" defaultColWidth="11.42578125" defaultRowHeight="15"/>
  <cols>
    <col min="1" max="1" width="31.7109375" style="10" bestFit="1" customWidth="1"/>
    <col min="2" max="2" width="53" style="10" customWidth="1"/>
    <col min="3" max="3" width="50.85546875" style="10" customWidth="1"/>
    <col min="4" max="4" width="53" style="10" customWidth="1"/>
    <col min="5" max="5" width="73.42578125" style="10" customWidth="1"/>
    <col min="6" max="6" width="60" style="10" bestFit="1" customWidth="1"/>
    <col min="7" max="7" width="24.42578125" style="10" customWidth="1"/>
    <col min="8" max="8" width="25.42578125" style="10" customWidth="1"/>
    <col min="9" max="16384" width="11.42578125" style="10"/>
  </cols>
  <sheetData>
    <row r="1" spans="1:12" s="71" customFormat="1" ht="30" customHeight="1" thickBot="1">
      <c r="A1" s="377" t="s">
        <v>418</v>
      </c>
      <c r="B1" s="378"/>
      <c r="C1" s="378"/>
      <c r="D1" s="378"/>
      <c r="E1" s="378"/>
      <c r="F1" s="378"/>
      <c r="G1" s="378"/>
      <c r="H1" s="378"/>
      <c r="I1" s="378"/>
      <c r="J1" s="378"/>
      <c r="K1" s="378"/>
      <c r="L1" s="378"/>
    </row>
    <row r="2" spans="1:12">
      <c r="A2" s="15" t="s">
        <v>419</v>
      </c>
    </row>
    <row r="3" spans="1:12">
      <c r="D3" s="33"/>
      <c r="E3" s="33"/>
      <c r="F3" s="33"/>
      <c r="G3" s="33"/>
    </row>
    <row r="4" spans="1:12" s="64" customFormat="1" ht="14.25" customHeight="1">
      <c r="A4" s="95" t="s">
        <v>384</v>
      </c>
      <c r="B4" s="95" t="s">
        <v>420</v>
      </c>
      <c r="C4" s="95" t="s">
        <v>421</v>
      </c>
      <c r="D4" s="96" t="s">
        <v>422</v>
      </c>
      <c r="E4" s="96" t="s">
        <v>423</v>
      </c>
      <c r="F4" s="96" t="s">
        <v>424</v>
      </c>
      <c r="G4" s="96" t="s">
        <v>425</v>
      </c>
    </row>
    <row r="5" spans="1:12">
      <c r="A5" s="61" t="s">
        <v>244</v>
      </c>
      <c r="B5" s="28" t="s">
        <v>426</v>
      </c>
      <c r="C5" s="28" t="s">
        <v>427</v>
      </c>
      <c r="D5" s="28" t="s">
        <v>428</v>
      </c>
      <c r="E5" s="73">
        <v>3.59</v>
      </c>
      <c r="F5" s="28" t="s">
        <v>429</v>
      </c>
      <c r="G5" s="61" t="s">
        <v>389</v>
      </c>
    </row>
    <row r="6" spans="1:12" ht="24">
      <c r="A6" s="61" t="s">
        <v>254</v>
      </c>
      <c r="B6" s="28" t="s">
        <v>430</v>
      </c>
      <c r="C6" s="28" t="s">
        <v>427</v>
      </c>
      <c r="D6" s="28" t="s">
        <v>431</v>
      </c>
      <c r="E6" s="73">
        <v>2.87</v>
      </c>
      <c r="F6" s="28" t="s">
        <v>429</v>
      </c>
      <c r="G6" s="61" t="s">
        <v>389</v>
      </c>
    </row>
    <row r="7" spans="1:12">
      <c r="A7" s="61" t="s">
        <v>259</v>
      </c>
      <c r="B7" s="28" t="s">
        <v>432</v>
      </c>
      <c r="C7" s="28" t="s">
        <v>433</v>
      </c>
      <c r="D7" s="28" t="s">
        <v>433</v>
      </c>
      <c r="E7" s="73" t="s">
        <v>433</v>
      </c>
      <c r="F7" s="28" t="s">
        <v>433</v>
      </c>
      <c r="G7" s="28" t="s">
        <v>433</v>
      </c>
    </row>
    <row r="8" spans="1:12">
      <c r="A8" s="61" t="s">
        <v>262</v>
      </c>
      <c r="B8" s="28" t="s">
        <v>432</v>
      </c>
      <c r="C8" s="28" t="s">
        <v>433</v>
      </c>
      <c r="D8" s="28" t="s">
        <v>433</v>
      </c>
      <c r="E8" s="73" t="s">
        <v>433</v>
      </c>
      <c r="F8" s="28" t="s">
        <v>433</v>
      </c>
      <c r="G8" s="28" t="s">
        <v>433</v>
      </c>
    </row>
    <row r="9" spans="1:12" ht="27.75" customHeight="1">
      <c r="A9" s="392" t="s">
        <v>434</v>
      </c>
      <c r="B9" s="406"/>
      <c r="C9" s="406"/>
      <c r="D9" s="406"/>
      <c r="E9" s="406"/>
      <c r="F9" s="406"/>
      <c r="G9" s="406"/>
    </row>
    <row r="11" spans="1:12" s="71" customFormat="1" ht="30" customHeight="1" thickBot="1">
      <c r="A11" s="377" t="s">
        <v>435</v>
      </c>
      <c r="B11" s="378"/>
      <c r="C11" s="378"/>
      <c r="D11" s="378"/>
      <c r="E11" s="378"/>
      <c r="F11" s="378"/>
      <c r="G11" s="378"/>
      <c r="H11" s="378"/>
      <c r="I11" s="378"/>
      <c r="J11" s="378"/>
      <c r="K11" s="378"/>
      <c r="L11" s="378"/>
    </row>
    <row r="12" spans="1:12">
      <c r="A12" s="15" t="s">
        <v>436</v>
      </c>
    </row>
    <row r="14" spans="1:12" s="64" customFormat="1" ht="23.25" customHeight="1">
      <c r="A14" s="95" t="s">
        <v>384</v>
      </c>
      <c r="B14" s="95" t="s">
        <v>437</v>
      </c>
      <c r="C14" s="95" t="s">
        <v>438</v>
      </c>
      <c r="D14" s="95" t="s">
        <v>439</v>
      </c>
      <c r="E14" s="95" t="s">
        <v>440</v>
      </c>
      <c r="F14" s="95" t="s">
        <v>441</v>
      </c>
      <c r="G14" s="95" t="s">
        <v>442</v>
      </c>
      <c r="H14" s="95" t="s">
        <v>443</v>
      </c>
    </row>
    <row r="15" spans="1:12" s="64" customFormat="1">
      <c r="A15" s="74" t="s">
        <v>254</v>
      </c>
      <c r="B15" s="75">
        <v>0.45</v>
      </c>
      <c r="C15" s="74" t="s">
        <v>444</v>
      </c>
      <c r="D15" s="76">
        <v>0.3</v>
      </c>
      <c r="E15" s="72" t="s">
        <v>444</v>
      </c>
      <c r="F15" s="72" t="s">
        <v>389</v>
      </c>
      <c r="G15" s="72" t="s">
        <v>445</v>
      </c>
      <c r="H15" s="72" t="s">
        <v>446</v>
      </c>
    </row>
    <row r="16" spans="1:12" s="64" customFormat="1">
      <c r="A16" s="74" t="s">
        <v>254</v>
      </c>
      <c r="B16" s="75">
        <v>0.37</v>
      </c>
      <c r="C16" s="74" t="s">
        <v>447</v>
      </c>
      <c r="D16" s="76">
        <v>0</v>
      </c>
      <c r="E16" s="72" t="s">
        <v>17</v>
      </c>
      <c r="F16" s="72" t="s">
        <v>17</v>
      </c>
      <c r="G16" s="72" t="s">
        <v>389</v>
      </c>
      <c r="H16" s="72" t="s">
        <v>446</v>
      </c>
    </row>
    <row r="17" spans="1:12" s="64" customFormat="1" ht="15.75" thickBot="1">
      <c r="A17" s="77" t="s">
        <v>416</v>
      </c>
      <c r="B17" s="78">
        <f>SUBTOTAL(109,Tabla21[Size of Habitat Protected (1) in Km2])</f>
        <v>0.82000000000000006</v>
      </c>
      <c r="C17" s="77"/>
      <c r="D17" s="79">
        <f>SUBTOTAL(109,Tabla21[Size of Habitat Restored in Km2])</f>
        <v>0.3</v>
      </c>
      <c r="E17" s="80"/>
      <c r="F17" s="80"/>
      <c r="G17" s="80"/>
      <c r="H17" s="80">
        <f>SUBTOTAL(103,Tabla21[Status of Area])</f>
        <v>2</v>
      </c>
    </row>
    <row r="18" spans="1:12" ht="33" customHeight="1" thickTop="1">
      <c r="A18" s="373" t="s">
        <v>448</v>
      </c>
      <c r="B18" s="373"/>
      <c r="C18" s="373"/>
      <c r="D18" s="373"/>
      <c r="E18" s="373"/>
      <c r="F18" s="373"/>
      <c r="G18" s="373"/>
      <c r="H18" s="373"/>
    </row>
    <row r="19" spans="1:12" s="71" customFormat="1" ht="30" customHeight="1" thickBot="1">
      <c r="A19" s="377" t="s">
        <v>449</v>
      </c>
      <c r="B19" s="378"/>
      <c r="C19" s="378"/>
      <c r="D19" s="378"/>
      <c r="E19" s="378"/>
      <c r="F19" s="378"/>
      <c r="G19" s="378"/>
      <c r="H19" s="378"/>
      <c r="I19" s="378"/>
      <c r="J19" s="378"/>
      <c r="K19" s="378"/>
      <c r="L19" s="378"/>
    </row>
    <row r="20" spans="1:12">
      <c r="A20" s="15" t="s">
        <v>450</v>
      </c>
    </row>
    <row r="22" spans="1:12" ht="24">
      <c r="A22" s="54" t="s">
        <v>451</v>
      </c>
      <c r="B22" s="54" t="s">
        <v>452</v>
      </c>
      <c r="C22" s="54" t="s">
        <v>453</v>
      </c>
      <c r="D22" s="54" t="s">
        <v>454</v>
      </c>
      <c r="E22" s="54" t="s">
        <v>455</v>
      </c>
    </row>
    <row r="23" spans="1:12">
      <c r="A23" s="28" t="s">
        <v>244</v>
      </c>
      <c r="B23" s="81">
        <f>259.26/100</f>
        <v>2.5926</v>
      </c>
      <c r="C23" s="81">
        <f>107/100</f>
        <v>1.07</v>
      </c>
      <c r="D23" s="81">
        <f>7/100</f>
        <v>7.0000000000000007E-2</v>
      </c>
      <c r="E23" s="81">
        <f>359.47/100</f>
        <v>3.5947000000000005</v>
      </c>
      <c r="F23" s="82"/>
    </row>
    <row r="24" spans="1:12">
      <c r="A24" s="61" t="s">
        <v>254</v>
      </c>
      <c r="B24" s="81">
        <f>287/100</f>
        <v>2.87</v>
      </c>
      <c r="C24" s="81">
        <f>30.9/100</f>
        <v>0.309</v>
      </c>
      <c r="D24" s="81">
        <v>0</v>
      </c>
      <c r="E24" s="81">
        <f>317.9/100</f>
        <v>3.1789999999999998</v>
      </c>
    </row>
    <row r="25" spans="1:12">
      <c r="A25" s="61" t="s">
        <v>259</v>
      </c>
      <c r="B25" s="81">
        <v>0</v>
      </c>
      <c r="C25" s="81">
        <v>0</v>
      </c>
      <c r="D25" s="81">
        <v>0</v>
      </c>
      <c r="E25" s="81">
        <v>0</v>
      </c>
    </row>
    <row r="26" spans="1:12">
      <c r="A26" s="61" t="s">
        <v>262</v>
      </c>
      <c r="B26" s="81">
        <v>0</v>
      </c>
      <c r="C26" s="81">
        <v>0</v>
      </c>
      <c r="D26" s="81">
        <v>0</v>
      </c>
      <c r="E26" s="81">
        <v>0</v>
      </c>
    </row>
    <row r="27" spans="1:12" s="12" customFormat="1" ht="12.75" thickBot="1">
      <c r="A27" s="66" t="s">
        <v>416</v>
      </c>
      <c r="B27" s="83">
        <f>SUBTOTAL(109,Tabla22[Total Disturbance at Beginning of Reporting Period (opening balance) - Km2])</f>
        <v>5.4626000000000001</v>
      </c>
      <c r="C27" s="83">
        <f>SUBTOTAL(109,Tabla22[New Disturbance During 2021 - Km2])</f>
        <v>1.379</v>
      </c>
      <c r="D27" s="83">
        <f>SUBTOTAL(109,Tabla22[Achieved Reclamation (to agreed upon end use) During Reporting Period - Km2 (1)])</f>
        <v>7.0000000000000007E-2</v>
      </c>
      <c r="E27" s="83">
        <f>SUBTOTAL(109,Tabla22[Total Disturbance not yet Reclaimed (to agreed upon end use) at End of Reporting Period (closing balance) - Km2])</f>
        <v>6.7736999999999998</v>
      </c>
    </row>
    <row r="28" spans="1:12" ht="30" customHeight="1" thickTop="1">
      <c r="A28" s="373" t="s">
        <v>456</v>
      </c>
      <c r="B28" s="373"/>
      <c r="C28" s="373"/>
      <c r="D28" s="373"/>
      <c r="E28" s="373"/>
    </row>
    <row r="30" spans="1:12" s="71" customFormat="1" ht="30" customHeight="1" thickBot="1">
      <c r="A30" s="377" t="s">
        <v>457</v>
      </c>
      <c r="B30" s="378"/>
      <c r="C30" s="378"/>
      <c r="D30" s="378"/>
      <c r="E30" s="378"/>
      <c r="F30" s="378"/>
      <c r="G30" s="378"/>
      <c r="H30" s="378"/>
      <c r="I30" s="378"/>
      <c r="J30" s="378"/>
      <c r="K30" s="378"/>
      <c r="L30" s="378"/>
    </row>
    <row r="31" spans="1:12">
      <c r="A31" s="15" t="s">
        <v>458</v>
      </c>
    </row>
    <row r="33" spans="1:12" s="64" customFormat="1">
      <c r="A33" s="97" t="s">
        <v>384</v>
      </c>
      <c r="B33" s="98" t="s">
        <v>459</v>
      </c>
      <c r="C33" s="98" t="s">
        <v>460</v>
      </c>
      <c r="D33" s="98" t="s">
        <v>461</v>
      </c>
      <c r="E33" s="98" t="s">
        <v>462</v>
      </c>
      <c r="F33" s="99" t="s">
        <v>463</v>
      </c>
    </row>
    <row r="34" spans="1:12">
      <c r="A34" s="84" t="s">
        <v>244</v>
      </c>
      <c r="B34" s="85" t="s">
        <v>464</v>
      </c>
      <c r="C34" s="404" t="s">
        <v>465</v>
      </c>
      <c r="D34" s="85" t="s">
        <v>464</v>
      </c>
      <c r="E34" s="85" t="s">
        <v>464</v>
      </c>
      <c r="F34" s="86" t="s">
        <v>464</v>
      </c>
    </row>
    <row r="35" spans="1:12">
      <c r="A35" s="87" t="s">
        <v>254</v>
      </c>
      <c r="B35" s="85" t="s">
        <v>464</v>
      </c>
      <c r="C35" s="392"/>
      <c r="D35" s="85" t="s">
        <v>464</v>
      </c>
      <c r="E35" s="85" t="s">
        <v>464</v>
      </c>
      <c r="F35" s="86" t="s">
        <v>464</v>
      </c>
    </row>
    <row r="36" spans="1:12">
      <c r="A36" s="87" t="s">
        <v>259</v>
      </c>
      <c r="B36" s="85" t="s">
        <v>466</v>
      </c>
      <c r="C36" s="392"/>
      <c r="D36" s="85" t="s">
        <v>466</v>
      </c>
      <c r="E36" s="85" t="s">
        <v>466</v>
      </c>
      <c r="F36" s="86" t="s">
        <v>466</v>
      </c>
    </row>
    <row r="37" spans="1:12" ht="48" customHeight="1">
      <c r="A37" s="88" t="s">
        <v>262</v>
      </c>
      <c r="B37" s="89" t="s">
        <v>466</v>
      </c>
      <c r="C37" s="405"/>
      <c r="D37" s="89" t="s">
        <v>466</v>
      </c>
      <c r="E37" s="89" t="s">
        <v>466</v>
      </c>
      <c r="F37" s="90" t="s">
        <v>466</v>
      </c>
    </row>
    <row r="39" spans="1:12" s="71" customFormat="1" ht="30" customHeight="1" thickBot="1">
      <c r="A39" s="377" t="s">
        <v>467</v>
      </c>
      <c r="B39" s="378"/>
      <c r="C39" s="378"/>
      <c r="D39" s="378"/>
      <c r="E39" s="378"/>
      <c r="F39" s="378"/>
      <c r="G39" s="378"/>
      <c r="H39" s="378"/>
      <c r="I39" s="378"/>
      <c r="J39" s="378"/>
      <c r="K39" s="378"/>
      <c r="L39" s="378"/>
    </row>
    <row r="40" spans="1:12">
      <c r="A40" s="15" t="s">
        <v>468</v>
      </c>
    </row>
    <row r="42" spans="1:12" ht="22.5" customHeight="1">
      <c r="A42" s="57" t="s">
        <v>469</v>
      </c>
      <c r="B42" s="58" t="s">
        <v>470</v>
      </c>
      <c r="C42" s="58" t="s">
        <v>471</v>
      </c>
      <c r="D42" s="58" t="s">
        <v>472</v>
      </c>
      <c r="E42" s="59" t="s">
        <v>473</v>
      </c>
    </row>
    <row r="43" spans="1:12" ht="60">
      <c r="A43" s="91" t="s">
        <v>244</v>
      </c>
      <c r="B43" s="92" t="s">
        <v>474</v>
      </c>
      <c r="C43" s="85" t="s">
        <v>464</v>
      </c>
      <c r="D43" s="85" t="s">
        <v>464</v>
      </c>
      <c r="E43" s="402" t="s">
        <v>475</v>
      </c>
    </row>
    <row r="44" spans="1:12" ht="36">
      <c r="A44" s="93" t="s">
        <v>254</v>
      </c>
      <c r="B44" s="94" t="s">
        <v>476</v>
      </c>
      <c r="C44" s="89" t="s">
        <v>464</v>
      </c>
      <c r="D44" s="89" t="s">
        <v>464</v>
      </c>
      <c r="E44" s="403"/>
    </row>
    <row r="45" spans="1:12" ht="30" customHeight="1">
      <c r="A45" s="373" t="s">
        <v>477</v>
      </c>
      <c r="B45" s="373"/>
      <c r="C45" s="373"/>
      <c r="D45" s="373"/>
      <c r="E45" s="373"/>
    </row>
  </sheetData>
  <mergeCells count="11">
    <mergeCell ref="A45:E45"/>
    <mergeCell ref="A1:L1"/>
    <mergeCell ref="E43:E44"/>
    <mergeCell ref="A30:L30"/>
    <mergeCell ref="C34:C37"/>
    <mergeCell ref="A39:L39"/>
    <mergeCell ref="A11:L11"/>
    <mergeCell ref="A19:L19"/>
    <mergeCell ref="A18:H18"/>
    <mergeCell ref="A28:E28"/>
    <mergeCell ref="A9:G9"/>
  </mergeCells>
  <phoneticPr fontId="17" type="noConversion"/>
  <pageMargins left="0.7" right="0.7" top="0.75" bottom="0.75" header="0.3" footer="0.3"/>
  <pageSetup orientation="portrait"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846B-EB2F-4A1E-A838-0831DE3B4D72}">
  <dimension ref="A1:M47"/>
  <sheetViews>
    <sheetView showGridLines="0" zoomScale="80" zoomScaleNormal="80" workbookViewId="0">
      <selection activeCell="A36" sqref="A1:M47"/>
    </sheetView>
  </sheetViews>
  <sheetFormatPr baseColWidth="10" defaultColWidth="11.42578125" defaultRowHeight="15"/>
  <cols>
    <col min="1" max="1" width="46.42578125" style="10" customWidth="1"/>
    <col min="2" max="2" width="20.42578125" style="10" customWidth="1"/>
    <col min="3" max="3" width="39.28515625" style="10" bestFit="1" customWidth="1"/>
    <col min="4" max="4" width="17.28515625" style="10" customWidth="1"/>
    <col min="5" max="5" width="23" style="10" customWidth="1"/>
    <col min="6" max="6" width="11.42578125" style="10"/>
    <col min="7" max="7" width="25.42578125" style="10" customWidth="1"/>
    <col min="8" max="8" width="11.42578125" style="10"/>
    <col min="9" max="9" width="13.140625" style="10" bestFit="1" customWidth="1"/>
    <col min="10" max="16384" width="11.42578125" style="10"/>
  </cols>
  <sheetData>
    <row r="1" spans="1:12" s="71" customFormat="1" ht="30" customHeight="1" thickBot="1">
      <c r="A1" s="377" t="s">
        <v>478</v>
      </c>
      <c r="B1" s="378"/>
      <c r="C1" s="378"/>
      <c r="D1" s="378"/>
      <c r="E1" s="378"/>
      <c r="F1" s="378"/>
      <c r="G1" s="378"/>
      <c r="H1" s="378"/>
      <c r="I1" s="378"/>
      <c r="J1" s="378"/>
      <c r="K1" s="378"/>
      <c r="L1" s="378"/>
    </row>
    <row r="2" spans="1:12">
      <c r="A2" s="15" t="s">
        <v>479</v>
      </c>
    </row>
    <row r="4" spans="1:12">
      <c r="A4" s="407" t="s">
        <v>480</v>
      </c>
      <c r="B4" s="408">
        <v>2020</v>
      </c>
      <c r="C4" s="408"/>
      <c r="D4" s="408"/>
      <c r="E4" s="409">
        <v>2021</v>
      </c>
      <c r="F4" s="410"/>
      <c r="G4" s="410"/>
      <c r="H4" s="410"/>
      <c r="I4" s="410"/>
      <c r="J4" s="411"/>
    </row>
    <row r="5" spans="1:12" s="64" customFormat="1">
      <c r="A5" s="407"/>
      <c r="B5" s="127" t="s">
        <v>244</v>
      </c>
      <c r="C5" s="127" t="s">
        <v>254</v>
      </c>
      <c r="D5" s="127" t="s">
        <v>416</v>
      </c>
      <c r="E5" s="127" t="s">
        <v>244</v>
      </c>
      <c r="F5" s="127" t="s">
        <v>481</v>
      </c>
      <c r="G5" s="127" t="s">
        <v>254</v>
      </c>
      <c r="H5" s="127" t="s">
        <v>481</v>
      </c>
      <c r="I5" s="127" t="s">
        <v>416</v>
      </c>
      <c r="J5" s="127" t="s">
        <v>481</v>
      </c>
    </row>
    <row r="6" spans="1:12">
      <c r="A6" s="414" t="s">
        <v>482</v>
      </c>
      <c r="B6" s="415"/>
      <c r="C6" s="415"/>
      <c r="D6" s="415"/>
      <c r="E6" s="415"/>
      <c r="F6" s="415"/>
      <c r="G6" s="415"/>
      <c r="H6" s="415"/>
      <c r="I6" s="415"/>
      <c r="J6" s="416"/>
    </row>
    <row r="7" spans="1:12">
      <c r="A7" s="100" t="s">
        <v>483</v>
      </c>
      <c r="B7" s="101">
        <f>SUM(B8:B14)</f>
        <v>494931</v>
      </c>
      <c r="C7" s="101">
        <f>SUM(C8:C14)</f>
        <v>235288.8</v>
      </c>
      <c r="D7" s="102">
        <f>SUM(B7:C7)</f>
        <v>730219.8</v>
      </c>
      <c r="E7" s="101">
        <f>SUM(E8:E14)</f>
        <v>469301</v>
      </c>
      <c r="F7" s="103">
        <f>E7/E25</f>
        <v>0.6989220568787009</v>
      </c>
      <c r="G7" s="101">
        <f>SUM(G8:G14)</f>
        <v>533714</v>
      </c>
      <c r="H7" s="103">
        <f>G7/G25</f>
        <v>0.76154559593624704</v>
      </c>
      <c r="I7" s="102">
        <f>SUM(E7+G7)</f>
        <v>1003015</v>
      </c>
      <c r="J7" s="103">
        <f>I7/I25</f>
        <v>0.73090387336824325</v>
      </c>
    </row>
    <row r="8" spans="1:12">
      <c r="A8" s="104" t="s">
        <v>484</v>
      </c>
      <c r="B8" s="105">
        <v>494931</v>
      </c>
      <c r="C8" s="105">
        <v>235281</v>
      </c>
      <c r="D8" s="106">
        <f t="shared" ref="D8:E14" si="0">SUM(B8:C8)</f>
        <v>730212</v>
      </c>
      <c r="E8" s="107">
        <v>464724</v>
      </c>
      <c r="F8" s="108">
        <f>E8/E25</f>
        <v>0.69210560804451171</v>
      </c>
      <c r="G8" s="107">
        <v>533705</v>
      </c>
      <c r="H8" s="108">
        <f>G8/G25</f>
        <v>0.76153275402023313</v>
      </c>
      <c r="I8" s="106">
        <f t="shared" ref="I8:I14" si="1">SUM(E8+G8)</f>
        <v>998429</v>
      </c>
      <c r="J8" s="108">
        <f>I8/I25</f>
        <v>0.72756202388117996</v>
      </c>
    </row>
    <row r="9" spans="1:12">
      <c r="A9" s="104" t="s">
        <v>485</v>
      </c>
      <c r="B9" s="105">
        <v>0</v>
      </c>
      <c r="C9" s="105">
        <v>0</v>
      </c>
      <c r="D9" s="106">
        <f t="shared" si="0"/>
        <v>0</v>
      </c>
      <c r="E9" s="105">
        <v>0</v>
      </c>
      <c r="F9" s="108">
        <f>E9/E25</f>
        <v>0</v>
      </c>
      <c r="G9" s="105">
        <v>0</v>
      </c>
      <c r="H9" s="108">
        <f>G9/G25</f>
        <v>0</v>
      </c>
      <c r="I9" s="106">
        <f t="shared" si="1"/>
        <v>0</v>
      </c>
      <c r="J9" s="108">
        <f>I9/I25</f>
        <v>0</v>
      </c>
    </row>
    <row r="10" spans="1:12">
      <c r="A10" s="104" t="s">
        <v>486</v>
      </c>
      <c r="B10" s="105">
        <v>0</v>
      </c>
      <c r="C10" s="105">
        <v>0</v>
      </c>
      <c r="D10" s="106">
        <f t="shared" si="0"/>
        <v>0</v>
      </c>
      <c r="E10" s="105">
        <v>0</v>
      </c>
      <c r="F10" s="108">
        <f>E10/E25</f>
        <v>0</v>
      </c>
      <c r="G10" s="105">
        <v>0</v>
      </c>
      <c r="H10" s="108">
        <f>G10/G25</f>
        <v>0</v>
      </c>
      <c r="I10" s="106">
        <f t="shared" si="1"/>
        <v>0</v>
      </c>
      <c r="J10" s="108">
        <f>I10/I25</f>
        <v>0</v>
      </c>
    </row>
    <row r="11" spans="1:12">
      <c r="A11" s="104" t="s">
        <v>487</v>
      </c>
      <c r="B11" s="105">
        <v>0</v>
      </c>
      <c r="C11" s="105">
        <v>0</v>
      </c>
      <c r="D11" s="106">
        <f t="shared" si="0"/>
        <v>0</v>
      </c>
      <c r="E11" s="105">
        <v>0</v>
      </c>
      <c r="F11" s="108">
        <f>E11/E25</f>
        <v>0</v>
      </c>
      <c r="G11" s="105">
        <v>0</v>
      </c>
      <c r="H11" s="108">
        <f>G11/G25</f>
        <v>0</v>
      </c>
      <c r="I11" s="106">
        <f t="shared" si="1"/>
        <v>0</v>
      </c>
      <c r="J11" s="108">
        <f>I11/I25</f>
        <v>0</v>
      </c>
    </row>
    <row r="12" spans="1:12">
      <c r="A12" s="104" t="s">
        <v>488</v>
      </c>
      <c r="B12" s="105">
        <v>0</v>
      </c>
      <c r="C12" s="105">
        <v>7.8</v>
      </c>
      <c r="D12" s="106">
        <f t="shared" si="0"/>
        <v>7.8</v>
      </c>
      <c r="E12" s="105">
        <v>4577</v>
      </c>
      <c r="F12" s="108">
        <f>E12/E25</f>
        <v>6.8164488341891745E-3</v>
      </c>
      <c r="G12" s="105">
        <v>9</v>
      </c>
      <c r="H12" s="108">
        <f>G12/G25</f>
        <v>1.2841916013869269E-5</v>
      </c>
      <c r="I12" s="106">
        <f t="shared" si="1"/>
        <v>4586</v>
      </c>
      <c r="J12" s="108">
        <f>I12/I25</f>
        <v>3.3418494870632678E-3</v>
      </c>
    </row>
    <row r="13" spans="1:12">
      <c r="A13" s="104" t="s">
        <v>489</v>
      </c>
      <c r="B13" s="105">
        <v>0</v>
      </c>
      <c r="C13" s="105">
        <v>0</v>
      </c>
      <c r="D13" s="106">
        <f t="shared" si="0"/>
        <v>0</v>
      </c>
      <c r="E13" s="107">
        <f t="shared" si="0"/>
        <v>0</v>
      </c>
      <c r="F13" s="108">
        <f>E13/E25</f>
        <v>0</v>
      </c>
      <c r="G13" s="105">
        <v>0</v>
      </c>
      <c r="H13" s="108">
        <f>G13/G25</f>
        <v>0</v>
      </c>
      <c r="I13" s="106">
        <f t="shared" si="1"/>
        <v>0</v>
      </c>
      <c r="J13" s="108">
        <f>I13/I25</f>
        <v>0</v>
      </c>
    </row>
    <row r="14" spans="1:12">
      <c r="A14" s="104" t="s">
        <v>490</v>
      </c>
      <c r="B14" s="105">
        <v>0</v>
      </c>
      <c r="C14" s="105">
        <v>0</v>
      </c>
      <c r="D14" s="106">
        <f t="shared" si="0"/>
        <v>0</v>
      </c>
      <c r="E14" s="107">
        <f t="shared" si="0"/>
        <v>0</v>
      </c>
      <c r="F14" s="108">
        <f>E14/E25</f>
        <v>0</v>
      </c>
      <c r="G14" s="105">
        <v>0</v>
      </c>
      <c r="H14" s="108">
        <f>G14/G25</f>
        <v>0</v>
      </c>
      <c r="I14" s="106">
        <f t="shared" si="1"/>
        <v>0</v>
      </c>
      <c r="J14" s="108">
        <f>I14/I25</f>
        <v>0</v>
      </c>
    </row>
    <row r="15" spans="1:12">
      <c r="A15" s="100" t="s">
        <v>491</v>
      </c>
      <c r="B15" s="101">
        <f>SUM(B16:B19)</f>
        <v>0</v>
      </c>
      <c r="C15" s="101">
        <f>SUM(C16:C19)</f>
        <v>0</v>
      </c>
      <c r="D15" s="102">
        <f t="shared" ref="D15:D20" si="2">SUM(B15:C15)</f>
        <v>0</v>
      </c>
      <c r="E15" s="101">
        <f>SUM(E16:E19)</f>
        <v>0</v>
      </c>
      <c r="F15" s="103">
        <f>E15/E25</f>
        <v>0</v>
      </c>
      <c r="G15" s="101">
        <f>SUM(G16:G19)</f>
        <v>0</v>
      </c>
      <c r="H15" s="103">
        <f>G15/G25</f>
        <v>0</v>
      </c>
      <c r="I15" s="102">
        <f>SUM(E15+G15)</f>
        <v>0</v>
      </c>
      <c r="J15" s="103">
        <f>I15/I25</f>
        <v>0</v>
      </c>
    </row>
    <row r="16" spans="1:12">
      <c r="A16" s="104" t="s">
        <v>492</v>
      </c>
      <c r="B16" s="105">
        <v>0</v>
      </c>
      <c r="C16" s="105">
        <v>0</v>
      </c>
      <c r="D16" s="106">
        <f t="shared" si="2"/>
        <v>0</v>
      </c>
      <c r="E16" s="105">
        <v>0</v>
      </c>
      <c r="F16" s="108">
        <f>E16/E25</f>
        <v>0</v>
      </c>
      <c r="G16" s="105">
        <v>0</v>
      </c>
      <c r="H16" s="109">
        <f>G16/G25</f>
        <v>0</v>
      </c>
      <c r="I16" s="106">
        <f>SUM(E16+G16)</f>
        <v>0</v>
      </c>
      <c r="J16" s="108">
        <f>I16/I25</f>
        <v>0</v>
      </c>
    </row>
    <row r="17" spans="1:13">
      <c r="A17" s="104" t="s">
        <v>493</v>
      </c>
      <c r="B17" s="105">
        <v>0</v>
      </c>
      <c r="C17" s="105">
        <v>0</v>
      </c>
      <c r="D17" s="106">
        <f t="shared" si="2"/>
        <v>0</v>
      </c>
      <c r="E17" s="105">
        <v>0</v>
      </c>
      <c r="F17" s="108">
        <f>E17/E25</f>
        <v>0</v>
      </c>
      <c r="G17" s="105">
        <v>0</v>
      </c>
      <c r="H17" s="109">
        <f>G17/G25</f>
        <v>0</v>
      </c>
      <c r="I17" s="106">
        <f t="shared" ref="I17:I19" si="3">SUM(E17+G17)</f>
        <v>0</v>
      </c>
      <c r="J17" s="108">
        <f>I17/I25</f>
        <v>0</v>
      </c>
    </row>
    <row r="18" spans="1:13">
      <c r="A18" s="104" t="s">
        <v>494</v>
      </c>
      <c r="B18" s="105">
        <v>0</v>
      </c>
      <c r="C18" s="105">
        <v>0</v>
      </c>
      <c r="D18" s="106">
        <f t="shared" si="2"/>
        <v>0</v>
      </c>
      <c r="E18" s="105">
        <v>0</v>
      </c>
      <c r="F18" s="108">
        <f>E18/E25</f>
        <v>0</v>
      </c>
      <c r="G18" s="105">
        <v>0</v>
      </c>
      <c r="H18" s="109">
        <f>G18/G25</f>
        <v>0</v>
      </c>
      <c r="I18" s="106">
        <f t="shared" si="3"/>
        <v>0</v>
      </c>
      <c r="J18" s="108">
        <f>I18/I25</f>
        <v>0</v>
      </c>
    </row>
    <row r="19" spans="1:13">
      <c r="A19" s="104" t="s">
        <v>495</v>
      </c>
      <c r="B19" s="105">
        <v>0</v>
      </c>
      <c r="C19" s="105">
        <v>0</v>
      </c>
      <c r="D19" s="106">
        <f t="shared" si="2"/>
        <v>0</v>
      </c>
      <c r="E19" s="105">
        <v>0</v>
      </c>
      <c r="F19" s="108">
        <f>E19/E25</f>
        <v>0</v>
      </c>
      <c r="G19" s="105">
        <v>0</v>
      </c>
      <c r="H19" s="109">
        <f>G19/G25</f>
        <v>0</v>
      </c>
      <c r="I19" s="106">
        <f t="shared" si="3"/>
        <v>0</v>
      </c>
      <c r="J19" s="108">
        <f>I19/I25</f>
        <v>0</v>
      </c>
    </row>
    <row r="20" spans="1:13">
      <c r="A20" s="100" t="s">
        <v>496</v>
      </c>
      <c r="B20" s="101">
        <f>SUM(B7+B15)</f>
        <v>494931</v>
      </c>
      <c r="C20" s="101">
        <f>SUM(C7+C15)</f>
        <v>235288.8</v>
      </c>
      <c r="D20" s="102">
        <f t="shared" si="2"/>
        <v>730219.8</v>
      </c>
      <c r="E20" s="101">
        <f>SUM(E7+E15)</f>
        <v>469301</v>
      </c>
      <c r="F20" s="103">
        <f>E20/E25</f>
        <v>0.6989220568787009</v>
      </c>
      <c r="G20" s="101">
        <f>SUM(G7+G15)</f>
        <v>533714</v>
      </c>
      <c r="H20" s="103">
        <f>G20/G25</f>
        <v>0.76154559593624704</v>
      </c>
      <c r="I20" s="102">
        <f>SUM(E20+G20)</f>
        <v>1003015</v>
      </c>
      <c r="J20" s="103">
        <f>I20/I25</f>
        <v>0.73090387336824325</v>
      </c>
    </row>
    <row r="21" spans="1:13">
      <c r="A21" s="414" t="s">
        <v>497</v>
      </c>
      <c r="B21" s="415"/>
      <c r="C21" s="415"/>
      <c r="D21" s="415"/>
      <c r="E21" s="415"/>
      <c r="F21" s="415"/>
      <c r="G21" s="415"/>
      <c r="H21" s="415"/>
      <c r="I21" s="415"/>
      <c r="J21" s="416"/>
    </row>
    <row r="22" spans="1:13">
      <c r="A22" s="104" t="s">
        <v>498</v>
      </c>
      <c r="B22" s="105">
        <f>158105*0.6</f>
        <v>94863</v>
      </c>
      <c r="C22" s="105">
        <f>123641*0.6</f>
        <v>74184.599999999991</v>
      </c>
      <c r="D22" s="102">
        <f>SUM(B22:C22)</f>
        <v>169047.59999999998</v>
      </c>
      <c r="E22" s="105">
        <f>202163*0.6</f>
        <v>121297.79999999999</v>
      </c>
      <c r="F22" s="109">
        <f>E22/E25</f>
        <v>0.18064676587277947</v>
      </c>
      <c r="G22" s="105">
        <f>167116*0.6</f>
        <v>100269.59999999999</v>
      </c>
      <c r="H22" s="109">
        <f>G22/G25</f>
        <v>0.14307264243825177</v>
      </c>
      <c r="I22" s="106">
        <f>SUM(E22+G22)</f>
        <v>221567.39999999997</v>
      </c>
      <c r="J22" s="103">
        <f>I22/I25</f>
        <v>0.16145767597905403</v>
      </c>
      <c r="M22" s="128"/>
    </row>
    <row r="23" spans="1:13">
      <c r="A23" s="104" t="s">
        <v>499</v>
      </c>
      <c r="B23" s="105">
        <f>158105*0.4</f>
        <v>63242</v>
      </c>
      <c r="C23" s="110">
        <f>123641*0.4</f>
        <v>49456.4</v>
      </c>
      <c r="D23" s="102">
        <f t="shared" ref="D23:D24" si="4">SUM(B23:C23)</f>
        <v>112698.4</v>
      </c>
      <c r="E23" s="105">
        <f>202163*0.4</f>
        <v>80865.200000000012</v>
      </c>
      <c r="F23" s="109">
        <f>E23/E25</f>
        <v>0.12043117724851966</v>
      </c>
      <c r="G23" s="110">
        <f>167116*0.4</f>
        <v>66846.400000000009</v>
      </c>
      <c r="H23" s="111">
        <f>G23/G25</f>
        <v>9.5381761625501202E-2</v>
      </c>
      <c r="I23" s="106">
        <f>SUM(E23+G23)</f>
        <v>147711.60000000003</v>
      </c>
      <c r="J23" s="103">
        <f>I23/I25</f>
        <v>0.10763845065270272</v>
      </c>
    </row>
    <row r="24" spans="1:13">
      <c r="A24" s="100" t="s">
        <v>500</v>
      </c>
      <c r="B24" s="101">
        <f>SUM(B22:B23)</f>
        <v>158105</v>
      </c>
      <c r="C24" s="112">
        <f>SUM(C22:C23)</f>
        <v>123641</v>
      </c>
      <c r="D24" s="102">
        <f t="shared" si="4"/>
        <v>281746</v>
      </c>
      <c r="E24" s="101">
        <f>SUM(E22:E23)</f>
        <v>202163</v>
      </c>
      <c r="F24" s="103">
        <f>E24/E25</f>
        <v>0.30107794312129915</v>
      </c>
      <c r="G24" s="101">
        <f>SUM(G22:G23)</f>
        <v>167116</v>
      </c>
      <c r="H24" s="103">
        <f>G24/G25</f>
        <v>0.23845440406375298</v>
      </c>
      <c r="I24" s="102">
        <f>SUM(E24+G24)</f>
        <v>369279</v>
      </c>
      <c r="J24" s="103">
        <f>I24/I25</f>
        <v>0.26909612663175675</v>
      </c>
    </row>
    <row r="25" spans="1:13" ht="19.5" customHeight="1" thickBot="1">
      <c r="A25" s="113" t="s">
        <v>501</v>
      </c>
      <c r="B25" s="114">
        <f>SUM(B20+B24)</f>
        <v>653036</v>
      </c>
      <c r="C25" s="114">
        <f>SUM(C20+C24)</f>
        <v>358929.8</v>
      </c>
      <c r="D25" s="115">
        <f>SUM(D20+D24)</f>
        <v>1011965.8</v>
      </c>
      <c r="E25" s="114">
        <f>SUM(E20+E24)</f>
        <v>671464</v>
      </c>
      <c r="F25" s="116">
        <f>(E20+E24)/E25</f>
        <v>1</v>
      </c>
      <c r="G25" s="114">
        <f>SUM(G20+G24)</f>
        <v>700830</v>
      </c>
      <c r="H25" s="116">
        <f>(G20+G24)/G25</f>
        <v>1</v>
      </c>
      <c r="I25" s="115">
        <f>SUM(I20+I24)</f>
        <v>1372294</v>
      </c>
      <c r="J25" s="117">
        <f>(I20+I24)/I25</f>
        <v>1</v>
      </c>
    </row>
    <row r="26" spans="1:13" ht="15.75" thickTop="1"/>
    <row r="28" spans="1:13" s="71" customFormat="1" ht="29.25" customHeight="1" thickBot="1">
      <c r="A28" s="377" t="s">
        <v>502</v>
      </c>
      <c r="B28" s="378"/>
      <c r="C28" s="378"/>
      <c r="D28" s="378"/>
      <c r="E28" s="378"/>
      <c r="F28" s="378"/>
      <c r="G28" s="378"/>
      <c r="H28" s="378"/>
      <c r="I28" s="378"/>
      <c r="J28" s="378"/>
      <c r="K28" s="378"/>
      <c r="L28" s="378"/>
    </row>
    <row r="29" spans="1:13">
      <c r="A29" s="15" t="s">
        <v>503</v>
      </c>
    </row>
    <row r="31" spans="1:13">
      <c r="A31" s="95" t="s">
        <v>244</v>
      </c>
      <c r="B31" s="95" t="s">
        <v>254</v>
      </c>
      <c r="C31" s="95" t="s">
        <v>504</v>
      </c>
    </row>
    <row r="32" spans="1:13">
      <c r="A32" s="118">
        <v>11.03</v>
      </c>
      <c r="B32" s="118">
        <v>6.86</v>
      </c>
      <c r="C32" s="119">
        <v>8.4</v>
      </c>
    </row>
    <row r="33" spans="1:12" ht="25.5" customHeight="1">
      <c r="A33" s="392" t="s">
        <v>505</v>
      </c>
      <c r="B33" s="392"/>
      <c r="C33" s="392"/>
    </row>
    <row r="36" spans="1:12" s="71" customFormat="1" ht="30" customHeight="1" thickBot="1">
      <c r="A36" s="377" t="s">
        <v>506</v>
      </c>
      <c r="B36" s="378"/>
      <c r="C36" s="378"/>
      <c r="D36" s="378"/>
      <c r="E36" s="378"/>
      <c r="F36" s="378"/>
      <c r="G36" s="378"/>
      <c r="H36" s="378"/>
      <c r="I36" s="378"/>
      <c r="J36" s="378"/>
      <c r="K36" s="378"/>
      <c r="L36" s="378"/>
    </row>
    <row r="37" spans="1:12">
      <c r="A37" s="15" t="s">
        <v>507</v>
      </c>
    </row>
    <row r="39" spans="1:12">
      <c r="A39" s="126" t="s">
        <v>384</v>
      </c>
      <c r="B39" s="126" t="s">
        <v>508</v>
      </c>
      <c r="C39" s="126" t="s">
        <v>509</v>
      </c>
      <c r="D39" s="126" t="s">
        <v>510</v>
      </c>
    </row>
    <row r="40" spans="1:12">
      <c r="A40" s="120" t="s">
        <v>244</v>
      </c>
      <c r="B40" s="107">
        <v>35911.9</v>
      </c>
      <c r="C40" s="107">
        <v>16734.59</v>
      </c>
      <c r="D40" s="121">
        <v>52646.48</v>
      </c>
    </row>
    <row r="41" spans="1:12">
      <c r="A41" s="120" t="s">
        <v>254</v>
      </c>
      <c r="B41" s="107">
        <v>38079.51</v>
      </c>
      <c r="C41" s="107">
        <v>13833.51</v>
      </c>
      <c r="D41" s="121">
        <v>51913.019</v>
      </c>
    </row>
    <row r="42" spans="1:12">
      <c r="A42" s="120" t="s">
        <v>259</v>
      </c>
      <c r="B42" s="107">
        <v>0</v>
      </c>
      <c r="C42" s="107">
        <v>0</v>
      </c>
      <c r="D42" s="121">
        <v>0</v>
      </c>
    </row>
    <row r="43" spans="1:12">
      <c r="A43" s="120" t="s">
        <v>262</v>
      </c>
      <c r="B43" s="107">
        <v>0</v>
      </c>
      <c r="C43" s="107">
        <v>0</v>
      </c>
      <c r="D43" s="121">
        <v>0</v>
      </c>
    </row>
    <row r="44" spans="1:12" ht="15.75" thickBot="1">
      <c r="A44" s="122" t="s">
        <v>510</v>
      </c>
      <c r="B44" s="123">
        <v>73991.41</v>
      </c>
      <c r="C44" s="123">
        <v>30568.1</v>
      </c>
      <c r="D44" s="123">
        <v>104559.5</v>
      </c>
    </row>
    <row r="45" spans="1:12" ht="15.75" thickTop="1">
      <c r="A45" s="124" t="s">
        <v>511</v>
      </c>
      <c r="B45" s="273">
        <v>0.70764880699999999</v>
      </c>
      <c r="C45" s="274">
        <v>0.29235119300000001</v>
      </c>
      <c r="D45" s="274">
        <v>1</v>
      </c>
    </row>
    <row r="46" spans="1:12">
      <c r="A46" s="120" t="s">
        <v>512</v>
      </c>
      <c r="B46" s="412">
        <v>182755</v>
      </c>
      <c r="C46" s="412"/>
      <c r="D46" s="412"/>
    </row>
    <row r="47" spans="1:12">
      <c r="A47" s="125" t="s">
        <v>513</v>
      </c>
      <c r="B47" s="413">
        <v>0.57212937699999999</v>
      </c>
      <c r="C47" s="413"/>
      <c r="D47" s="413"/>
    </row>
  </sheetData>
  <mergeCells count="11">
    <mergeCell ref="B47:D47"/>
    <mergeCell ref="A6:J6"/>
    <mergeCell ref="A28:L28"/>
    <mergeCell ref="A33:C33"/>
    <mergeCell ref="A36:L36"/>
    <mergeCell ref="A21:J21"/>
    <mergeCell ref="A1:L1"/>
    <mergeCell ref="A4:A5"/>
    <mergeCell ref="B4:D4"/>
    <mergeCell ref="E4:J4"/>
    <mergeCell ref="B46:D46"/>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3E83-A1E6-4C0C-AEA9-E10336961129}">
  <dimension ref="A1:L65"/>
  <sheetViews>
    <sheetView showGridLines="0" zoomScale="80" zoomScaleNormal="80" workbookViewId="0">
      <selection activeCell="A56" sqref="A1:L65"/>
    </sheetView>
  </sheetViews>
  <sheetFormatPr baseColWidth="10" defaultColWidth="11.42578125" defaultRowHeight="15"/>
  <cols>
    <col min="1" max="1" width="16.7109375" style="10" customWidth="1"/>
    <col min="2" max="2" width="44.42578125" style="10" customWidth="1"/>
    <col min="3" max="3" width="48" style="10" customWidth="1"/>
    <col min="4" max="4" width="38.85546875" style="10" customWidth="1"/>
    <col min="5" max="5" width="31.42578125" style="10" customWidth="1"/>
    <col min="6" max="6" width="45.28515625" style="10" customWidth="1"/>
    <col min="7" max="7" width="47" style="10" customWidth="1"/>
    <col min="8" max="16384" width="11.42578125" style="10"/>
  </cols>
  <sheetData>
    <row r="1" spans="1:12" s="71" customFormat="1" ht="30" customHeight="1" thickBot="1">
      <c r="A1" s="377" t="s">
        <v>514</v>
      </c>
      <c r="B1" s="378"/>
      <c r="C1" s="378"/>
      <c r="D1" s="378"/>
      <c r="E1" s="378"/>
      <c r="F1" s="378"/>
      <c r="G1" s="378"/>
      <c r="H1" s="378"/>
      <c r="I1" s="378"/>
      <c r="J1" s="378"/>
      <c r="K1" s="378"/>
      <c r="L1" s="378"/>
    </row>
    <row r="2" spans="1:12" s="15" customFormat="1"/>
    <row r="3" spans="1:12">
      <c r="A3" s="54" t="s">
        <v>515</v>
      </c>
      <c r="B3" s="54" t="s">
        <v>516</v>
      </c>
      <c r="C3" s="54" t="s">
        <v>242</v>
      </c>
      <c r="D3" s="54" t="s">
        <v>517</v>
      </c>
      <c r="E3" s="54" t="s">
        <v>518</v>
      </c>
    </row>
    <row r="4" spans="1:12">
      <c r="A4" s="28" t="s">
        <v>519</v>
      </c>
      <c r="B4" s="28" t="s">
        <v>520</v>
      </c>
      <c r="C4" s="28" t="s">
        <v>521</v>
      </c>
      <c r="D4" s="118">
        <v>63</v>
      </c>
      <c r="E4" s="28" t="s">
        <v>522</v>
      </c>
    </row>
    <row r="5" spans="1:12">
      <c r="A5" s="28" t="s">
        <v>523</v>
      </c>
      <c r="B5" s="28" t="s">
        <v>524</v>
      </c>
      <c r="C5" s="28" t="s">
        <v>447</v>
      </c>
      <c r="D5" s="118">
        <v>250</v>
      </c>
      <c r="E5" s="28" t="s">
        <v>522</v>
      </c>
    </row>
    <row r="6" spans="1:12">
      <c r="A6" s="28" t="s">
        <v>525</v>
      </c>
      <c r="B6" s="28" t="s">
        <v>526</v>
      </c>
      <c r="C6" s="28" t="s">
        <v>527</v>
      </c>
      <c r="D6" s="118">
        <v>175</v>
      </c>
      <c r="E6" s="28" t="s">
        <v>522</v>
      </c>
    </row>
    <row r="9" spans="1:12" s="71" customFormat="1" ht="30" customHeight="1" thickBot="1">
      <c r="A9" s="377" t="s">
        <v>528</v>
      </c>
      <c r="B9" s="378"/>
      <c r="C9" s="378"/>
      <c r="D9" s="378"/>
      <c r="E9" s="378"/>
      <c r="F9" s="378"/>
      <c r="G9" s="378"/>
      <c r="H9" s="378"/>
      <c r="I9" s="378"/>
      <c r="J9" s="378"/>
      <c r="K9" s="378"/>
      <c r="L9" s="378"/>
    </row>
    <row r="10" spans="1:12" s="15" customFormat="1">
      <c r="A10" s="15" t="s">
        <v>529</v>
      </c>
    </row>
    <row r="12" spans="1:12" ht="36">
      <c r="A12" s="54" t="s">
        <v>384</v>
      </c>
      <c r="B12" s="54" t="s">
        <v>530</v>
      </c>
      <c r="C12" s="54" t="s">
        <v>531</v>
      </c>
      <c r="D12" s="54" t="s">
        <v>532</v>
      </c>
      <c r="E12" s="54" t="s">
        <v>533</v>
      </c>
      <c r="F12" s="54" t="s">
        <v>534</v>
      </c>
      <c r="G12" s="54" t="s">
        <v>535</v>
      </c>
    </row>
    <row r="13" spans="1:12">
      <c r="A13" s="61" t="s">
        <v>244</v>
      </c>
      <c r="B13" s="61" t="s">
        <v>389</v>
      </c>
      <c r="C13" s="61" t="s">
        <v>536</v>
      </c>
      <c r="D13" s="61" t="s">
        <v>389</v>
      </c>
      <c r="E13" s="61" t="s">
        <v>389</v>
      </c>
      <c r="F13" s="61" t="s">
        <v>389</v>
      </c>
      <c r="G13" s="61" t="s">
        <v>389</v>
      </c>
    </row>
    <row r="14" spans="1:12">
      <c r="A14" s="61" t="s">
        <v>254</v>
      </c>
      <c r="B14" s="61" t="s">
        <v>389</v>
      </c>
      <c r="C14" s="61" t="s">
        <v>536</v>
      </c>
      <c r="D14" s="61" t="s">
        <v>389</v>
      </c>
      <c r="E14" s="61" t="s">
        <v>389</v>
      </c>
      <c r="F14" s="61" t="s">
        <v>389</v>
      </c>
      <c r="G14" s="61" t="s">
        <v>389</v>
      </c>
    </row>
    <row r="15" spans="1:12" ht="24">
      <c r="A15" s="84" t="s">
        <v>259</v>
      </c>
      <c r="B15" s="61" t="s">
        <v>537</v>
      </c>
      <c r="C15" s="61" t="s">
        <v>536</v>
      </c>
      <c r="D15" s="61" t="s">
        <v>445</v>
      </c>
      <c r="E15" s="61" t="s">
        <v>389</v>
      </c>
      <c r="F15" s="28" t="s">
        <v>538</v>
      </c>
      <c r="G15" s="61" t="s">
        <v>17</v>
      </c>
    </row>
    <row r="16" spans="1:12">
      <c r="A16" s="61" t="s">
        <v>539</v>
      </c>
      <c r="B16" s="61" t="s">
        <v>389</v>
      </c>
      <c r="C16" s="61" t="s">
        <v>445</v>
      </c>
      <c r="D16" s="61" t="s">
        <v>389</v>
      </c>
      <c r="E16" s="61" t="s">
        <v>389</v>
      </c>
      <c r="F16" s="61" t="s">
        <v>389</v>
      </c>
      <c r="G16" s="61" t="s">
        <v>445</v>
      </c>
    </row>
    <row r="19" spans="1:12" s="71" customFormat="1" ht="30" customHeight="1" thickBot="1">
      <c r="A19" s="377" t="s">
        <v>540</v>
      </c>
      <c r="B19" s="378"/>
      <c r="C19" s="378"/>
      <c r="D19" s="378"/>
      <c r="E19" s="378"/>
      <c r="F19" s="378"/>
      <c r="G19" s="378"/>
      <c r="H19" s="378"/>
      <c r="I19" s="378"/>
      <c r="J19" s="378"/>
      <c r="K19" s="378"/>
      <c r="L19" s="378"/>
    </row>
    <row r="20" spans="1:12" s="15" customFormat="1">
      <c r="A20" s="15" t="s">
        <v>541</v>
      </c>
    </row>
    <row r="22" spans="1:12" s="130" customFormat="1" ht="12">
      <c r="A22" s="140" t="s">
        <v>542</v>
      </c>
      <c r="B22" s="60" t="s">
        <v>244</v>
      </c>
      <c r="C22" s="60" t="s">
        <v>254</v>
      </c>
      <c r="D22" s="60" t="s">
        <v>543</v>
      </c>
      <c r="E22" s="60" t="s">
        <v>262</v>
      </c>
    </row>
    <row r="23" spans="1:12" s="12" customFormat="1" ht="24">
      <c r="A23" s="139" t="s">
        <v>544</v>
      </c>
      <c r="B23" s="28" t="s">
        <v>545</v>
      </c>
      <c r="C23" s="28" t="s">
        <v>546</v>
      </c>
      <c r="D23" s="61" t="s">
        <v>414</v>
      </c>
      <c r="E23" s="61" t="s">
        <v>547</v>
      </c>
    </row>
    <row r="24" spans="1:12" s="46" customFormat="1" ht="96">
      <c r="A24" s="141" t="s">
        <v>548</v>
      </c>
      <c r="B24" s="131" t="s">
        <v>549</v>
      </c>
      <c r="C24" s="131" t="s">
        <v>550</v>
      </c>
      <c r="D24" s="131" t="s">
        <v>551</v>
      </c>
      <c r="E24" s="132" t="s">
        <v>552</v>
      </c>
    </row>
    <row r="27" spans="1:12" s="71" customFormat="1" ht="30" customHeight="1" thickBot="1">
      <c r="A27" s="377" t="s">
        <v>553</v>
      </c>
      <c r="B27" s="378"/>
      <c r="C27" s="378"/>
      <c r="D27" s="378"/>
      <c r="E27" s="378"/>
      <c r="F27" s="378"/>
      <c r="G27" s="378"/>
      <c r="H27" s="378"/>
      <c r="I27" s="378"/>
      <c r="J27" s="378"/>
      <c r="K27" s="378"/>
      <c r="L27" s="378"/>
    </row>
    <row r="28" spans="1:12" s="15" customFormat="1">
      <c r="A28" s="15" t="s">
        <v>554</v>
      </c>
    </row>
    <row r="30" spans="1:12">
      <c r="A30" s="48" t="s">
        <v>384</v>
      </c>
      <c r="B30" s="49" t="s">
        <v>555</v>
      </c>
      <c r="C30" s="49" t="s">
        <v>556</v>
      </c>
      <c r="D30" s="50" t="s">
        <v>557</v>
      </c>
    </row>
    <row r="31" spans="1:12" s="71" customFormat="1">
      <c r="A31" s="84" t="s">
        <v>244</v>
      </c>
      <c r="B31" s="27" t="s">
        <v>445</v>
      </c>
      <c r="C31" s="27" t="s">
        <v>558</v>
      </c>
      <c r="D31" s="133" t="s">
        <v>17</v>
      </c>
    </row>
    <row r="32" spans="1:12" s="71" customFormat="1">
      <c r="A32" s="84" t="s">
        <v>254</v>
      </c>
      <c r="B32" s="27" t="s">
        <v>445</v>
      </c>
      <c r="C32" s="27" t="s">
        <v>17</v>
      </c>
      <c r="D32" s="133" t="s">
        <v>17</v>
      </c>
    </row>
    <row r="33" spans="1:12" s="71" customFormat="1" ht="24">
      <c r="A33" s="84" t="s">
        <v>259</v>
      </c>
      <c r="B33" s="27" t="s">
        <v>445</v>
      </c>
      <c r="C33" s="27" t="s">
        <v>17</v>
      </c>
      <c r="D33" s="133" t="s">
        <v>17</v>
      </c>
    </row>
    <row r="34" spans="1:12" s="71" customFormat="1" ht="24">
      <c r="A34" s="84" t="s">
        <v>262</v>
      </c>
      <c r="B34" s="27" t="s">
        <v>559</v>
      </c>
      <c r="C34" s="27" t="s">
        <v>389</v>
      </c>
      <c r="D34" s="133" t="s">
        <v>560</v>
      </c>
    </row>
    <row r="35" spans="1:12" s="71" customFormat="1" ht="15.75" thickBot="1">
      <c r="A35" s="113" t="s">
        <v>416</v>
      </c>
      <c r="B35" s="418" t="s">
        <v>561</v>
      </c>
      <c r="C35" s="418"/>
      <c r="D35" s="418"/>
    </row>
    <row r="36" spans="1:12" ht="52.5" customHeight="1" thickTop="1">
      <c r="A36" s="383" t="s">
        <v>562</v>
      </c>
      <c r="B36" s="383"/>
      <c r="C36" s="383"/>
      <c r="D36" s="383"/>
    </row>
    <row r="39" spans="1:12" s="71" customFormat="1" ht="20.25" thickBot="1">
      <c r="A39" s="377" t="s">
        <v>563</v>
      </c>
      <c r="B39" s="378"/>
      <c r="C39" s="378"/>
      <c r="D39" s="378"/>
      <c r="E39" s="378"/>
      <c r="F39" s="378"/>
      <c r="G39" s="378"/>
      <c r="H39" s="378"/>
      <c r="I39" s="378"/>
      <c r="J39" s="378"/>
      <c r="K39" s="378"/>
      <c r="L39" s="378"/>
    </row>
    <row r="40" spans="1:12" s="15" customFormat="1">
      <c r="A40" s="15" t="s">
        <v>564</v>
      </c>
    </row>
    <row r="42" spans="1:12">
      <c r="A42" s="48" t="s">
        <v>565</v>
      </c>
      <c r="B42" s="49" t="s">
        <v>384</v>
      </c>
      <c r="C42" s="49" t="s">
        <v>516</v>
      </c>
      <c r="D42" s="49" t="s">
        <v>566</v>
      </c>
      <c r="E42" s="49" t="s">
        <v>242</v>
      </c>
      <c r="F42" s="50" t="s">
        <v>515</v>
      </c>
    </row>
    <row r="43" spans="1:12">
      <c r="A43" s="87" t="s">
        <v>567</v>
      </c>
      <c r="B43" s="134" t="s">
        <v>568</v>
      </c>
      <c r="C43" s="134" t="s">
        <v>568</v>
      </c>
      <c r="D43" s="134" t="s">
        <v>569</v>
      </c>
      <c r="E43" s="134" t="s">
        <v>570</v>
      </c>
      <c r="F43" s="86">
        <v>2021</v>
      </c>
    </row>
    <row r="44" spans="1:12">
      <c r="A44" s="88" t="s">
        <v>571</v>
      </c>
      <c r="B44" s="135" t="s">
        <v>254</v>
      </c>
      <c r="C44" s="135" t="s">
        <v>254</v>
      </c>
      <c r="D44" s="135" t="s">
        <v>572</v>
      </c>
      <c r="E44" s="135" t="s">
        <v>573</v>
      </c>
      <c r="F44" s="90">
        <v>2021</v>
      </c>
    </row>
    <row r="45" spans="1:12" ht="28.5" customHeight="1">
      <c r="A45" s="417" t="s">
        <v>574</v>
      </c>
      <c r="B45" s="417"/>
      <c r="C45" s="417"/>
      <c r="D45" s="417"/>
      <c r="E45" s="417"/>
      <c r="F45" s="417"/>
    </row>
    <row r="46" spans="1:12">
      <c r="A46" s="129"/>
      <c r="B46" s="129"/>
      <c r="C46" s="129"/>
      <c r="D46" s="129"/>
      <c r="E46" s="129"/>
      <c r="F46" s="129"/>
    </row>
    <row r="47" spans="1:12">
      <c r="A47" s="129"/>
      <c r="B47" s="129"/>
      <c r="C47" s="129"/>
      <c r="D47" s="129"/>
      <c r="E47" s="129"/>
      <c r="F47" s="129"/>
    </row>
    <row r="48" spans="1:12" s="71" customFormat="1" ht="30" customHeight="1" thickBot="1">
      <c r="A48" s="377" t="s">
        <v>575</v>
      </c>
      <c r="B48" s="378"/>
      <c r="C48" s="378"/>
      <c r="D48" s="378"/>
      <c r="E48" s="378"/>
      <c r="F48" s="378"/>
      <c r="G48" s="378"/>
      <c r="H48" s="378"/>
      <c r="I48" s="378"/>
      <c r="J48" s="378"/>
      <c r="K48" s="378"/>
      <c r="L48" s="378"/>
    </row>
    <row r="49" spans="1:12" s="15" customFormat="1">
      <c r="A49" s="15" t="s">
        <v>576</v>
      </c>
    </row>
    <row r="51" spans="1:12">
      <c r="A51" s="142" t="s">
        <v>577</v>
      </c>
      <c r="B51" s="142" t="s">
        <v>578</v>
      </c>
      <c r="C51" s="142" t="s">
        <v>518</v>
      </c>
      <c r="D51" s="142" t="s">
        <v>579</v>
      </c>
      <c r="E51" s="142" t="s">
        <v>388</v>
      </c>
    </row>
    <row r="52" spans="1:12" s="71" customFormat="1" ht="24">
      <c r="A52" s="28" t="s">
        <v>569</v>
      </c>
      <c r="B52" s="28" t="s">
        <v>389</v>
      </c>
      <c r="C52" s="28" t="s">
        <v>433</v>
      </c>
      <c r="D52" s="28" t="s">
        <v>337</v>
      </c>
      <c r="E52" s="28" t="s">
        <v>580</v>
      </c>
    </row>
    <row r="53" spans="1:12" s="71" customFormat="1" ht="24">
      <c r="A53" s="28" t="s">
        <v>572</v>
      </c>
      <c r="B53" s="28" t="s">
        <v>389</v>
      </c>
      <c r="C53" s="28" t="s">
        <v>433</v>
      </c>
      <c r="D53" s="28" t="s">
        <v>337</v>
      </c>
      <c r="E53" s="28" t="s">
        <v>581</v>
      </c>
    </row>
    <row r="56" spans="1:12" s="71" customFormat="1" ht="20.25" thickBot="1">
      <c r="A56" s="377" t="s">
        <v>582</v>
      </c>
      <c r="B56" s="378"/>
      <c r="C56" s="378"/>
      <c r="D56" s="378"/>
      <c r="E56" s="378"/>
      <c r="F56" s="378"/>
      <c r="G56" s="378"/>
      <c r="H56" s="378"/>
      <c r="I56" s="378"/>
      <c r="J56" s="378"/>
      <c r="K56" s="378"/>
      <c r="L56" s="378"/>
    </row>
    <row r="57" spans="1:12" s="15" customFormat="1">
      <c r="A57" s="15" t="s">
        <v>583</v>
      </c>
    </row>
    <row r="59" spans="1:12">
      <c r="A59" s="70" t="s">
        <v>242</v>
      </c>
      <c r="B59" s="54" t="s">
        <v>584</v>
      </c>
      <c r="C59" s="54" t="s">
        <v>585</v>
      </c>
      <c r="D59" s="54" t="s">
        <v>586</v>
      </c>
      <c r="E59" s="70" t="s">
        <v>587</v>
      </c>
      <c r="F59" s="143" t="s">
        <v>588</v>
      </c>
    </row>
    <row r="60" spans="1:12">
      <c r="A60" s="61" t="s">
        <v>589</v>
      </c>
      <c r="B60" s="136">
        <v>14599</v>
      </c>
      <c r="C60" s="73">
        <v>0</v>
      </c>
      <c r="D60" s="73">
        <v>9</v>
      </c>
      <c r="E60" s="137">
        <v>9</v>
      </c>
      <c r="F60" s="138">
        <v>5.9999999999999995E-4</v>
      </c>
    </row>
    <row r="61" spans="1:12">
      <c r="A61" s="61" t="s">
        <v>590</v>
      </c>
      <c r="B61" s="136">
        <v>15606</v>
      </c>
      <c r="C61" s="73">
        <v>28</v>
      </c>
      <c r="D61" s="73">
        <v>32</v>
      </c>
      <c r="E61" s="137">
        <v>60</v>
      </c>
      <c r="F61" s="138">
        <v>3.8E-3</v>
      </c>
    </row>
    <row r="62" spans="1:12">
      <c r="A62" s="61" t="s">
        <v>591</v>
      </c>
      <c r="B62" s="136">
        <v>41432</v>
      </c>
      <c r="C62" s="73">
        <v>1</v>
      </c>
      <c r="D62" s="73">
        <v>1</v>
      </c>
      <c r="E62" s="137">
        <v>2</v>
      </c>
      <c r="F62" s="138">
        <v>0</v>
      </c>
    </row>
    <row r="63" spans="1:12">
      <c r="A63" s="61" t="s">
        <v>414</v>
      </c>
      <c r="B63" s="136">
        <v>37748</v>
      </c>
      <c r="C63" s="73">
        <v>0</v>
      </c>
      <c r="D63" s="73">
        <v>10</v>
      </c>
      <c r="E63" s="137">
        <v>9</v>
      </c>
      <c r="F63" s="138">
        <v>2.9999999999999997E-4</v>
      </c>
    </row>
    <row r="64" spans="1:12">
      <c r="A64" s="61" t="s">
        <v>592</v>
      </c>
      <c r="B64" s="136">
        <v>14383</v>
      </c>
      <c r="C64" s="73">
        <v>5</v>
      </c>
      <c r="D64" s="73">
        <v>2</v>
      </c>
      <c r="E64" s="137">
        <v>7</v>
      </c>
      <c r="F64" s="138">
        <v>5.0000000000000001E-4</v>
      </c>
    </row>
    <row r="65" spans="1:6" ht="28.5" customHeight="1">
      <c r="A65" s="417" t="s">
        <v>593</v>
      </c>
      <c r="B65" s="417"/>
      <c r="C65" s="417"/>
      <c r="D65" s="417"/>
      <c r="E65" s="417"/>
      <c r="F65" s="417"/>
    </row>
  </sheetData>
  <mergeCells count="11">
    <mergeCell ref="A65:F65"/>
    <mergeCell ref="A1:L1"/>
    <mergeCell ref="A9:L9"/>
    <mergeCell ref="A19:L19"/>
    <mergeCell ref="A56:L56"/>
    <mergeCell ref="A27:L27"/>
    <mergeCell ref="B35:D35"/>
    <mergeCell ref="A36:D36"/>
    <mergeCell ref="A39:L39"/>
    <mergeCell ref="A48:L48"/>
    <mergeCell ref="A45:F45"/>
  </mergeCells>
  <pageMargins left="0.7" right="0.7" top="0.75" bottom="0.75" header="0.3" footer="0.3"/>
  <drawing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8314-1F15-4BB7-AE2F-71A90D550E25}">
  <dimension ref="A1:L52"/>
  <sheetViews>
    <sheetView showGridLines="0" zoomScale="80" zoomScaleNormal="80" workbookViewId="0">
      <selection activeCell="A47" sqref="A47:L47"/>
    </sheetView>
  </sheetViews>
  <sheetFormatPr baseColWidth="10" defaultColWidth="11.42578125" defaultRowHeight="15"/>
  <cols>
    <col min="1" max="1" width="42.85546875" style="10" customWidth="1"/>
    <col min="2" max="2" width="96.140625" style="10" customWidth="1"/>
    <col min="3" max="3" width="68.85546875" style="10" customWidth="1"/>
    <col min="4" max="4" width="76" style="10" customWidth="1"/>
    <col min="5" max="5" width="30.140625" style="10" customWidth="1"/>
    <col min="6" max="6" width="34.140625" style="10" customWidth="1"/>
    <col min="7" max="7" width="15.85546875" style="10" customWidth="1"/>
    <col min="8" max="8" width="16.140625" style="10" customWidth="1"/>
    <col min="9" max="9" width="15.140625" style="10" customWidth="1"/>
    <col min="10" max="10" width="26.42578125" style="10" customWidth="1"/>
    <col min="11" max="16384" width="11.42578125" style="10"/>
  </cols>
  <sheetData>
    <row r="1" spans="1:12" s="71" customFormat="1" ht="30" customHeight="1" thickBot="1">
      <c r="A1" s="377" t="s">
        <v>594</v>
      </c>
      <c r="B1" s="378"/>
      <c r="C1" s="378"/>
      <c r="D1" s="378"/>
      <c r="E1" s="378"/>
      <c r="F1" s="378"/>
      <c r="G1" s="378"/>
      <c r="H1" s="378"/>
      <c r="I1" s="378"/>
      <c r="J1" s="378"/>
      <c r="K1" s="378"/>
      <c r="L1" s="378"/>
    </row>
    <row r="2" spans="1:12" s="15" customFormat="1">
      <c r="A2" s="15" t="s">
        <v>595</v>
      </c>
    </row>
    <row r="4" spans="1:12">
      <c r="A4" s="28" t="s">
        <v>596</v>
      </c>
      <c r="B4" s="72">
        <v>10</v>
      </c>
    </row>
    <row r="5" spans="1:12">
      <c r="A5" s="28" t="s">
        <v>597</v>
      </c>
      <c r="B5" s="72">
        <v>9</v>
      </c>
    </row>
    <row r="6" spans="1:12">
      <c r="A6" s="28" t="s">
        <v>598</v>
      </c>
      <c r="B6" s="72">
        <v>1</v>
      </c>
    </row>
    <row r="7" spans="1:12">
      <c r="A7" s="28" t="s">
        <v>599</v>
      </c>
      <c r="B7" s="72" t="s">
        <v>600</v>
      </c>
    </row>
    <row r="8" spans="1:12">
      <c r="A8" s="28" t="s">
        <v>601</v>
      </c>
      <c r="B8" s="72" t="s">
        <v>389</v>
      </c>
    </row>
    <row r="9" spans="1:12">
      <c r="A9" s="28" t="s">
        <v>602</v>
      </c>
      <c r="B9" s="72" t="s">
        <v>389</v>
      </c>
    </row>
    <row r="10" spans="1:12">
      <c r="A10" s="28" t="s">
        <v>603</v>
      </c>
      <c r="B10" s="144">
        <v>0</v>
      </c>
    </row>
    <row r="11" spans="1:12">
      <c r="A11" s="28" t="s">
        <v>604</v>
      </c>
      <c r="B11" s="144">
        <v>0.11</v>
      </c>
    </row>
    <row r="12" spans="1:12">
      <c r="A12" s="28" t="s">
        <v>605</v>
      </c>
      <c r="B12" s="144">
        <v>0.89</v>
      </c>
    </row>
    <row r="13" spans="1:12">
      <c r="A13" s="28" t="s">
        <v>606</v>
      </c>
      <c r="B13" s="72">
        <v>0</v>
      </c>
    </row>
    <row r="14" spans="1:12" ht="57" customHeight="1">
      <c r="A14" s="392" t="s">
        <v>607</v>
      </c>
      <c r="B14" s="392"/>
    </row>
    <row r="15" spans="1:12">
      <c r="A15" s="145"/>
    </row>
    <row r="16" spans="1:12">
      <c r="A16" s="145"/>
    </row>
    <row r="17" spans="1:12" ht="20.25" thickBot="1">
      <c r="A17" s="377" t="s">
        <v>608</v>
      </c>
      <c r="B17" s="378"/>
      <c r="C17" s="378"/>
      <c r="D17" s="378"/>
      <c r="E17" s="378"/>
      <c r="F17" s="378"/>
      <c r="G17" s="378"/>
      <c r="H17" s="378"/>
      <c r="I17" s="378"/>
      <c r="J17" s="378"/>
      <c r="K17" s="378"/>
      <c r="L17" s="378"/>
    </row>
    <row r="18" spans="1:12" s="15" customFormat="1">
      <c r="A18" s="15" t="s">
        <v>609</v>
      </c>
    </row>
    <row r="19" spans="1:12">
      <c r="A19" s="146"/>
    </row>
    <row r="20" spans="1:12">
      <c r="A20" s="56" t="s">
        <v>610</v>
      </c>
      <c r="B20" s="56" t="s">
        <v>611</v>
      </c>
      <c r="C20" s="56" t="s">
        <v>612</v>
      </c>
      <c r="D20" s="56" t="s">
        <v>613</v>
      </c>
      <c r="E20" s="56" t="s">
        <v>614</v>
      </c>
      <c r="F20" s="56" t="s">
        <v>615</v>
      </c>
      <c r="G20" s="56" t="s">
        <v>616</v>
      </c>
      <c r="H20" s="56" t="s">
        <v>617</v>
      </c>
      <c r="I20" s="56" t="s">
        <v>618</v>
      </c>
      <c r="J20" s="56" t="s">
        <v>619</v>
      </c>
    </row>
    <row r="21" spans="1:12" s="64" customFormat="1">
      <c r="A21" s="72" t="s">
        <v>620</v>
      </c>
      <c r="B21" s="72" t="s">
        <v>621</v>
      </c>
      <c r="C21" s="72" t="s">
        <v>622</v>
      </c>
      <c r="D21" s="72" t="s">
        <v>105</v>
      </c>
      <c r="E21" s="147" t="s">
        <v>623</v>
      </c>
      <c r="F21" s="72" t="s">
        <v>624</v>
      </c>
      <c r="G21" s="72" t="s">
        <v>389</v>
      </c>
      <c r="H21" s="72" t="s">
        <v>389</v>
      </c>
      <c r="I21" s="72" t="s">
        <v>389</v>
      </c>
      <c r="J21" s="72" t="s">
        <v>389</v>
      </c>
    </row>
    <row r="22" spans="1:12" s="64" customFormat="1">
      <c r="A22" s="72" t="s">
        <v>625</v>
      </c>
      <c r="B22" s="72" t="s">
        <v>626</v>
      </c>
      <c r="C22" s="72" t="s">
        <v>627</v>
      </c>
      <c r="D22" s="72" t="s">
        <v>105</v>
      </c>
      <c r="E22" s="72" t="s">
        <v>628</v>
      </c>
      <c r="F22" s="72" t="s">
        <v>624</v>
      </c>
      <c r="G22" s="72" t="s">
        <v>445</v>
      </c>
      <c r="H22" s="72" t="s">
        <v>389</v>
      </c>
      <c r="I22" s="72" t="s">
        <v>389</v>
      </c>
      <c r="J22" s="72" t="s">
        <v>389</v>
      </c>
    </row>
    <row r="23" spans="1:12" s="64" customFormat="1">
      <c r="A23" s="72" t="s">
        <v>629</v>
      </c>
      <c r="B23" s="72" t="s">
        <v>630</v>
      </c>
      <c r="C23" s="72" t="s">
        <v>630</v>
      </c>
      <c r="D23" s="72" t="s">
        <v>631</v>
      </c>
      <c r="E23" s="72" t="s">
        <v>628</v>
      </c>
      <c r="F23" s="72" t="s">
        <v>632</v>
      </c>
      <c r="G23" s="72" t="s">
        <v>445</v>
      </c>
      <c r="H23" s="72" t="s">
        <v>389</v>
      </c>
      <c r="I23" s="72" t="s">
        <v>389</v>
      </c>
      <c r="J23" s="72" t="s">
        <v>389</v>
      </c>
    </row>
    <row r="24" spans="1:12" s="64" customFormat="1">
      <c r="A24" s="72" t="s">
        <v>633</v>
      </c>
      <c r="B24" s="72" t="s">
        <v>634</v>
      </c>
      <c r="C24" s="72" t="s">
        <v>635</v>
      </c>
      <c r="D24" s="72" t="s">
        <v>636</v>
      </c>
      <c r="E24" s="72" t="s">
        <v>628</v>
      </c>
      <c r="F24" s="72" t="s">
        <v>632</v>
      </c>
      <c r="G24" s="72" t="s">
        <v>445</v>
      </c>
      <c r="H24" s="72" t="s">
        <v>389</v>
      </c>
      <c r="I24" s="72" t="s">
        <v>389</v>
      </c>
      <c r="J24" s="72" t="s">
        <v>389</v>
      </c>
    </row>
    <row r="27" spans="1:12" ht="20.25" thickBot="1">
      <c r="A27" s="377" t="s">
        <v>637</v>
      </c>
      <c r="B27" s="378"/>
      <c r="C27" s="378"/>
      <c r="D27" s="378"/>
      <c r="E27" s="378"/>
      <c r="F27" s="378"/>
      <c r="G27" s="378"/>
      <c r="H27" s="378"/>
      <c r="I27" s="378"/>
      <c r="J27" s="378"/>
      <c r="K27" s="378"/>
      <c r="L27" s="378"/>
    </row>
    <row r="28" spans="1:12" s="15" customFormat="1">
      <c r="A28" s="15" t="s">
        <v>638</v>
      </c>
    </row>
    <row r="30" spans="1:12">
      <c r="A30" s="54" t="s">
        <v>639</v>
      </c>
      <c r="B30" s="54" t="s">
        <v>640</v>
      </c>
      <c r="C30" s="54" t="s">
        <v>641</v>
      </c>
      <c r="D30" s="54" t="s">
        <v>642</v>
      </c>
    </row>
    <row r="31" spans="1:12" s="64" customFormat="1" ht="54" customHeight="1">
      <c r="A31" s="72">
        <v>4</v>
      </c>
      <c r="B31" s="72" t="s">
        <v>643</v>
      </c>
      <c r="C31" s="144">
        <v>0.75</v>
      </c>
      <c r="D31" s="63" t="s">
        <v>644</v>
      </c>
    </row>
    <row r="32" spans="1:12" ht="29.25" customHeight="1">
      <c r="A32" s="373" t="s">
        <v>645</v>
      </c>
      <c r="B32" s="420"/>
      <c r="C32" s="420"/>
      <c r="D32" s="420"/>
    </row>
    <row r="35" spans="1:12" ht="20.25" customHeight="1" thickBot="1">
      <c r="A35" s="377" t="s">
        <v>646</v>
      </c>
      <c r="B35" s="378"/>
      <c r="C35" s="378"/>
      <c r="D35" s="378"/>
      <c r="E35" s="378"/>
      <c r="F35" s="378"/>
      <c r="G35" s="378"/>
      <c r="H35" s="378"/>
      <c r="I35" s="378"/>
      <c r="J35" s="378"/>
      <c r="K35" s="378"/>
      <c r="L35" s="378"/>
    </row>
    <row r="36" spans="1:12" s="15" customFormat="1">
      <c r="A36" s="15" t="s">
        <v>647</v>
      </c>
    </row>
    <row r="38" spans="1:12" s="64" customFormat="1">
      <c r="A38" s="96" t="s">
        <v>648</v>
      </c>
      <c r="B38" s="96" t="s">
        <v>649</v>
      </c>
      <c r="C38" s="96" t="s">
        <v>650</v>
      </c>
      <c r="D38" s="96" t="s">
        <v>651</v>
      </c>
      <c r="E38" s="96" t="s">
        <v>652</v>
      </c>
    </row>
    <row r="39" spans="1:12" s="64" customFormat="1">
      <c r="A39" s="74">
        <v>1193</v>
      </c>
      <c r="B39" s="74">
        <v>929</v>
      </c>
      <c r="C39" s="148" t="s">
        <v>653</v>
      </c>
      <c r="D39" s="74" t="s">
        <v>654</v>
      </c>
      <c r="E39" s="148">
        <v>0.04</v>
      </c>
    </row>
    <row r="40" spans="1:12" s="149" customFormat="1" ht="68.25" customHeight="1">
      <c r="A40" s="373" t="s">
        <v>655</v>
      </c>
      <c r="B40" s="373"/>
      <c r="C40" s="373"/>
      <c r="D40" s="373"/>
      <c r="E40" s="373"/>
      <c r="F40" s="132"/>
    </row>
    <row r="41" spans="1:12">
      <c r="A41" s="419"/>
      <c r="B41" s="419"/>
      <c r="C41" s="419"/>
      <c r="D41" s="419"/>
      <c r="E41" s="419"/>
      <c r="F41" s="419"/>
    </row>
    <row r="42" spans="1:12" s="64" customFormat="1">
      <c r="A42" s="60" t="s">
        <v>656</v>
      </c>
      <c r="B42" s="60" t="s">
        <v>657</v>
      </c>
      <c r="C42" s="60" t="s">
        <v>481</v>
      </c>
    </row>
    <row r="43" spans="1:12" s="64" customFormat="1">
      <c r="A43" s="74">
        <v>705</v>
      </c>
      <c r="B43" s="74">
        <v>705</v>
      </c>
      <c r="C43" s="148">
        <f>Tabla5[[#This Row],['# Business Partners that Anti-corruption Policies and Procedures have been Communicated to]]/Tabla5[[#This Row],['# Suppliers]]</f>
        <v>1</v>
      </c>
    </row>
    <row r="44" spans="1:12" ht="25.5" customHeight="1">
      <c r="A44" s="373" t="s">
        <v>658</v>
      </c>
      <c r="B44" s="373"/>
      <c r="C44" s="373"/>
    </row>
    <row r="47" spans="1:12" ht="20.25" thickBot="1">
      <c r="A47" s="377" t="s">
        <v>659</v>
      </c>
      <c r="B47" s="378"/>
      <c r="C47" s="378"/>
      <c r="D47" s="378"/>
      <c r="E47" s="378"/>
      <c r="F47" s="378"/>
      <c r="G47" s="378"/>
      <c r="H47" s="378"/>
      <c r="I47" s="378"/>
      <c r="J47" s="378"/>
      <c r="K47" s="378"/>
      <c r="L47" s="378"/>
    </row>
    <row r="48" spans="1:12" s="15" customFormat="1">
      <c r="A48" s="15" t="s">
        <v>660</v>
      </c>
    </row>
    <row r="50" spans="1:5" s="64" customFormat="1">
      <c r="A50" s="95" t="s">
        <v>661</v>
      </c>
      <c r="B50" s="95" t="s">
        <v>662</v>
      </c>
      <c r="C50" s="95" t="s">
        <v>663</v>
      </c>
      <c r="D50" s="95" t="s">
        <v>664</v>
      </c>
      <c r="E50" s="95" t="s">
        <v>665</v>
      </c>
    </row>
    <row r="51" spans="1:5" s="64" customFormat="1">
      <c r="A51" s="74">
        <v>1</v>
      </c>
      <c r="B51" s="72" t="s">
        <v>666</v>
      </c>
      <c r="C51" s="74" t="s">
        <v>389</v>
      </c>
      <c r="D51" s="74" t="s">
        <v>445</v>
      </c>
      <c r="E51" s="74" t="s">
        <v>17</v>
      </c>
    </row>
    <row r="52" spans="1:5" ht="45.75" customHeight="1">
      <c r="A52" s="392" t="s">
        <v>667</v>
      </c>
      <c r="B52" s="392"/>
      <c r="C52" s="392"/>
      <c r="D52" s="392"/>
      <c r="E52" s="392"/>
    </row>
  </sheetData>
  <mergeCells count="11">
    <mergeCell ref="A52:E52"/>
    <mergeCell ref="A41:F41"/>
    <mergeCell ref="A1:L1"/>
    <mergeCell ref="A14:B14"/>
    <mergeCell ref="A17:L17"/>
    <mergeCell ref="A27:L27"/>
    <mergeCell ref="A35:L35"/>
    <mergeCell ref="A47:L47"/>
    <mergeCell ref="A32:D32"/>
    <mergeCell ref="A44:C44"/>
    <mergeCell ref="A40:E40"/>
  </mergeCells>
  <pageMargins left="0.7" right="0.7" top="0.75" bottom="0.75" header="0.3" footer="0.3"/>
  <drawing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69E1-6C49-44C8-B729-D791D8F33933}">
  <dimension ref="A1:L10"/>
  <sheetViews>
    <sheetView showGridLines="0" zoomScaleNormal="100" workbookViewId="0">
      <selection sqref="A1:L1"/>
    </sheetView>
  </sheetViews>
  <sheetFormatPr baseColWidth="10" defaultColWidth="11.42578125" defaultRowHeight="15"/>
  <cols>
    <col min="1" max="1" width="20.28515625" style="10" customWidth="1"/>
    <col min="2" max="2" width="32.28515625" style="10" bestFit="1" customWidth="1"/>
    <col min="3" max="3" width="19.140625" style="10" customWidth="1"/>
    <col min="4" max="4" width="79.28515625" style="10" bestFit="1" customWidth="1"/>
    <col min="5" max="16384" width="11.42578125" style="10"/>
  </cols>
  <sheetData>
    <row r="1" spans="1:12" s="71" customFormat="1" ht="30" customHeight="1" thickBot="1">
      <c r="A1" s="377" t="s">
        <v>668</v>
      </c>
      <c r="B1" s="378"/>
      <c r="C1" s="378"/>
      <c r="D1" s="378"/>
      <c r="E1" s="378"/>
      <c r="F1" s="378"/>
      <c r="G1" s="378"/>
      <c r="H1" s="378"/>
      <c r="I1" s="378"/>
      <c r="J1" s="378"/>
      <c r="K1" s="378"/>
      <c r="L1" s="378"/>
    </row>
    <row r="2" spans="1:12" s="15" customFormat="1">
      <c r="A2" s="15" t="s">
        <v>669</v>
      </c>
    </row>
    <row r="4" spans="1:12" s="64" customFormat="1">
      <c r="A4" s="95" t="s">
        <v>384</v>
      </c>
      <c r="B4" s="95" t="s">
        <v>670</v>
      </c>
      <c r="C4" s="95" t="s">
        <v>671</v>
      </c>
      <c r="D4" s="95" t="s">
        <v>672</v>
      </c>
    </row>
    <row r="5" spans="1:12" s="64" customFormat="1" ht="24">
      <c r="A5" s="72" t="s">
        <v>244</v>
      </c>
      <c r="B5" s="72" t="s">
        <v>389</v>
      </c>
      <c r="C5" s="72" t="s">
        <v>673</v>
      </c>
      <c r="D5" s="72" t="s">
        <v>674</v>
      </c>
    </row>
    <row r="6" spans="1:12" s="64" customFormat="1" ht="24">
      <c r="A6" s="72" t="s">
        <v>254</v>
      </c>
      <c r="B6" s="72" t="s">
        <v>389</v>
      </c>
      <c r="C6" s="72" t="s">
        <v>673</v>
      </c>
      <c r="D6" s="72" t="s">
        <v>675</v>
      </c>
    </row>
    <row r="7" spans="1:12" s="64" customFormat="1" ht="24">
      <c r="A7" s="72" t="s">
        <v>259</v>
      </c>
      <c r="B7" s="72" t="s">
        <v>389</v>
      </c>
      <c r="C7" s="72" t="s">
        <v>676</v>
      </c>
      <c r="D7" s="72" t="s">
        <v>677</v>
      </c>
    </row>
    <row r="8" spans="1:12" s="64" customFormat="1" ht="24">
      <c r="A8" s="72" t="s">
        <v>262</v>
      </c>
      <c r="B8" s="72" t="s">
        <v>389</v>
      </c>
      <c r="C8" s="72" t="s">
        <v>676</v>
      </c>
      <c r="D8" s="72" t="s">
        <v>677</v>
      </c>
    </row>
    <row r="9" spans="1:12" s="64" customFormat="1" ht="15.75" thickBot="1">
      <c r="A9" s="150" t="s">
        <v>416</v>
      </c>
      <c r="B9" s="151">
        <v>1</v>
      </c>
      <c r="C9" s="150"/>
      <c r="D9" s="150"/>
    </row>
    <row r="10" spans="1:12" ht="15.75" thickTop="1"/>
  </sheetData>
  <mergeCells count="1">
    <mergeCell ref="A1:L1"/>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A5A2C-1717-4D21-BB6C-DDA2350F5152}">
  <dimension ref="A1:L106"/>
  <sheetViews>
    <sheetView showGridLines="0" zoomScale="80" zoomScaleNormal="80" workbookViewId="0">
      <selection activeCell="A100" sqref="A100:L100"/>
    </sheetView>
  </sheetViews>
  <sheetFormatPr baseColWidth="10" defaultColWidth="11.42578125" defaultRowHeight="15"/>
  <cols>
    <col min="1" max="1" width="62.28515625" style="10" customWidth="1"/>
    <col min="2" max="2" width="59.140625" style="10" customWidth="1"/>
    <col min="3" max="3" width="49.7109375" style="10" customWidth="1"/>
    <col min="4" max="4" width="46" style="10" customWidth="1"/>
    <col min="5" max="5" width="52.85546875" style="10" customWidth="1"/>
    <col min="6" max="6" width="39.42578125" style="10" customWidth="1"/>
    <col min="7" max="7" width="46.28515625" style="10" customWidth="1"/>
    <col min="8" max="8" width="38" style="10" customWidth="1"/>
    <col min="9" max="9" width="19.140625" style="10" customWidth="1"/>
    <col min="10" max="16384" width="11.42578125" style="10"/>
  </cols>
  <sheetData>
    <row r="1" spans="1:12" s="71" customFormat="1" ht="30" customHeight="1" thickBot="1">
      <c r="A1" s="377" t="s">
        <v>678</v>
      </c>
      <c r="B1" s="378"/>
      <c r="C1" s="378"/>
      <c r="D1" s="378"/>
      <c r="E1" s="378"/>
      <c r="F1" s="378"/>
      <c r="G1" s="378"/>
      <c r="H1" s="378"/>
      <c r="I1" s="378"/>
      <c r="J1" s="378"/>
      <c r="K1" s="378"/>
      <c r="L1" s="378"/>
    </row>
    <row r="2" spans="1:12">
      <c r="A2" s="15" t="s">
        <v>679</v>
      </c>
    </row>
    <row r="3" spans="1:12">
      <c r="C3" s="152"/>
    </row>
    <row r="4" spans="1:12" s="64" customFormat="1">
      <c r="A4" s="60" t="s">
        <v>680</v>
      </c>
      <c r="B4" s="60" t="s">
        <v>681</v>
      </c>
      <c r="C4" s="60" t="s">
        <v>682</v>
      </c>
      <c r="D4" s="60" t="s">
        <v>683</v>
      </c>
      <c r="E4" s="60" t="s">
        <v>684</v>
      </c>
      <c r="F4" s="60" t="s">
        <v>685</v>
      </c>
      <c r="G4" s="60" t="s">
        <v>686</v>
      </c>
    </row>
    <row r="5" spans="1:12" s="64" customFormat="1" ht="36">
      <c r="A5" s="74" t="s">
        <v>687</v>
      </c>
      <c r="B5" s="72" t="s">
        <v>688</v>
      </c>
      <c r="C5" s="136">
        <v>17299</v>
      </c>
      <c r="D5" s="153">
        <v>11668</v>
      </c>
      <c r="E5" s="74" t="s">
        <v>689</v>
      </c>
      <c r="F5" s="74" t="s">
        <v>690</v>
      </c>
      <c r="G5" s="72" t="s">
        <v>691</v>
      </c>
    </row>
    <row r="6" spans="1:12" s="64" customFormat="1" ht="48">
      <c r="A6" s="74" t="s">
        <v>692</v>
      </c>
      <c r="B6" s="72" t="s">
        <v>693</v>
      </c>
      <c r="C6" s="136">
        <v>1182</v>
      </c>
      <c r="D6" s="153">
        <v>1030</v>
      </c>
      <c r="E6" s="74" t="s">
        <v>689</v>
      </c>
      <c r="F6" s="74" t="s">
        <v>690</v>
      </c>
      <c r="G6" s="72" t="s">
        <v>694</v>
      </c>
    </row>
    <row r="7" spans="1:12" s="64" customFormat="1" ht="36">
      <c r="A7" s="74" t="s">
        <v>695</v>
      </c>
      <c r="B7" s="72" t="s">
        <v>696</v>
      </c>
      <c r="C7" s="73">
        <v>535</v>
      </c>
      <c r="D7" s="75">
        <v>265</v>
      </c>
      <c r="E7" s="74" t="s">
        <v>332</v>
      </c>
      <c r="F7" s="74" t="s">
        <v>697</v>
      </c>
      <c r="G7" s="72" t="s">
        <v>698</v>
      </c>
    </row>
    <row r="8" spans="1:12" ht="24.75" customHeight="1">
      <c r="A8" s="392" t="s">
        <v>699</v>
      </c>
      <c r="B8" s="392"/>
      <c r="C8" s="392"/>
      <c r="D8" s="392"/>
      <c r="E8" s="392"/>
      <c r="F8" s="392"/>
      <c r="G8" s="392"/>
      <c r="H8" s="28"/>
      <c r="I8" s="28"/>
    </row>
    <row r="10" spans="1:12" s="71" customFormat="1" ht="30" customHeight="1" thickBot="1">
      <c r="A10" s="377" t="s">
        <v>700</v>
      </c>
      <c r="B10" s="378"/>
      <c r="C10" s="378"/>
      <c r="D10" s="378"/>
      <c r="E10" s="378"/>
      <c r="F10" s="378"/>
      <c r="G10" s="378"/>
      <c r="H10" s="378"/>
      <c r="I10" s="378"/>
      <c r="J10" s="378"/>
      <c r="K10" s="378"/>
      <c r="L10" s="378"/>
    </row>
    <row r="11" spans="1:12">
      <c r="A11" s="15" t="s">
        <v>701</v>
      </c>
    </row>
    <row r="13" spans="1:12" s="64" customFormat="1">
      <c r="A13" s="165" t="s">
        <v>702</v>
      </c>
      <c r="B13" s="96" t="s">
        <v>244</v>
      </c>
      <c r="C13" s="96" t="s">
        <v>254</v>
      </c>
      <c r="D13" s="96" t="s">
        <v>703</v>
      </c>
      <c r="E13" s="96" t="s">
        <v>539</v>
      </c>
      <c r="F13" s="96" t="s">
        <v>704</v>
      </c>
      <c r="G13" s="96" t="s">
        <v>416</v>
      </c>
    </row>
    <row r="14" spans="1:12">
      <c r="A14" s="154" t="s">
        <v>705</v>
      </c>
      <c r="B14" s="155">
        <f>B15</f>
        <v>568</v>
      </c>
      <c r="C14" s="155">
        <f t="shared" ref="C14:G14" si="0">C15</f>
        <v>461</v>
      </c>
      <c r="D14" s="155">
        <f t="shared" si="0"/>
        <v>27</v>
      </c>
      <c r="E14" s="155">
        <f t="shared" si="0"/>
        <v>47</v>
      </c>
      <c r="F14" s="155">
        <f t="shared" si="0"/>
        <v>90</v>
      </c>
      <c r="G14" s="155">
        <f t="shared" si="0"/>
        <v>1193</v>
      </c>
    </row>
    <row r="15" spans="1:12">
      <c r="A15" s="61" t="s">
        <v>706</v>
      </c>
      <c r="B15" s="75">
        <v>568</v>
      </c>
      <c r="C15" s="75">
        <v>461</v>
      </c>
      <c r="D15" s="75">
        <v>27</v>
      </c>
      <c r="E15" s="75">
        <v>47</v>
      </c>
      <c r="F15" s="75">
        <v>90</v>
      </c>
      <c r="G15" s="75">
        <f>SUM(Tabla27[[#This Row],[Limon Complex]:[Managua]])</f>
        <v>1193</v>
      </c>
    </row>
    <row r="16" spans="1:12">
      <c r="A16" s="61" t="s">
        <v>707</v>
      </c>
      <c r="B16" s="156">
        <f>B15/B14</f>
        <v>1</v>
      </c>
      <c r="C16" s="156">
        <f t="shared" ref="C16:G16" si="1">C15/C14</f>
        <v>1</v>
      </c>
      <c r="D16" s="156">
        <f t="shared" si="1"/>
        <v>1</v>
      </c>
      <c r="E16" s="156">
        <f t="shared" si="1"/>
        <v>1</v>
      </c>
      <c r="F16" s="156">
        <f t="shared" si="1"/>
        <v>1</v>
      </c>
      <c r="G16" s="156">
        <f t="shared" si="1"/>
        <v>1</v>
      </c>
    </row>
    <row r="17" spans="1:12">
      <c r="A17" s="154" t="s">
        <v>708</v>
      </c>
      <c r="B17" s="155">
        <f>B18</f>
        <v>870</v>
      </c>
      <c r="C17" s="155">
        <f t="shared" ref="C17:G17" si="2">C18</f>
        <v>980</v>
      </c>
      <c r="D17" s="155">
        <f t="shared" si="2"/>
        <v>71</v>
      </c>
      <c r="E17" s="155">
        <f t="shared" si="2"/>
        <v>53</v>
      </c>
      <c r="F17" s="155">
        <f t="shared" si="2"/>
        <v>0</v>
      </c>
      <c r="G17" s="155">
        <f t="shared" si="2"/>
        <v>1974</v>
      </c>
    </row>
    <row r="18" spans="1:12">
      <c r="A18" s="61" t="s">
        <v>709</v>
      </c>
      <c r="B18" s="75">
        <v>870</v>
      </c>
      <c r="C18" s="75">
        <v>980</v>
      </c>
      <c r="D18" s="75">
        <v>71</v>
      </c>
      <c r="E18" s="75">
        <v>53</v>
      </c>
      <c r="F18" s="75">
        <v>0</v>
      </c>
      <c r="G18" s="75">
        <v>1974</v>
      </c>
    </row>
    <row r="19" spans="1:12">
      <c r="A19" s="61" t="s">
        <v>710</v>
      </c>
      <c r="B19" s="156">
        <f>B18/B17</f>
        <v>1</v>
      </c>
      <c r="C19" s="156">
        <f t="shared" ref="C19:G19" si="3">C18/C17</f>
        <v>1</v>
      </c>
      <c r="D19" s="156">
        <f t="shared" si="3"/>
        <v>1</v>
      </c>
      <c r="E19" s="156">
        <f t="shared" si="3"/>
        <v>1</v>
      </c>
      <c r="F19" s="156">
        <v>0</v>
      </c>
      <c r="G19" s="156">
        <f t="shared" si="3"/>
        <v>1</v>
      </c>
    </row>
    <row r="20" spans="1:12">
      <c r="A20" s="154" t="s">
        <v>711</v>
      </c>
      <c r="B20" s="155">
        <f>SUM(B14+B17)</f>
        <v>1438</v>
      </c>
      <c r="C20" s="155">
        <f t="shared" ref="C20:G20" si="4">SUM(C14+C17)</f>
        <v>1441</v>
      </c>
      <c r="D20" s="155">
        <f t="shared" si="4"/>
        <v>98</v>
      </c>
      <c r="E20" s="155">
        <f t="shared" si="4"/>
        <v>100</v>
      </c>
      <c r="F20" s="155">
        <f t="shared" si="4"/>
        <v>90</v>
      </c>
      <c r="G20" s="155">
        <f t="shared" si="4"/>
        <v>3167</v>
      </c>
    </row>
    <row r="21" spans="1:12">
      <c r="A21" s="61" t="s">
        <v>712</v>
      </c>
      <c r="B21" s="75">
        <v>0</v>
      </c>
      <c r="C21" s="75">
        <v>0</v>
      </c>
      <c r="D21" s="75">
        <v>0</v>
      </c>
      <c r="E21" s="75">
        <v>0</v>
      </c>
      <c r="F21" s="75">
        <v>0</v>
      </c>
      <c r="G21" s="75">
        <v>0</v>
      </c>
    </row>
    <row r="22" spans="1:12">
      <c r="A22" s="61" t="s">
        <v>713</v>
      </c>
      <c r="B22" s="156">
        <f>B21/B20</f>
        <v>0</v>
      </c>
      <c r="C22" s="156">
        <f t="shared" ref="C22:G22" si="5">C21/C20</f>
        <v>0</v>
      </c>
      <c r="D22" s="156">
        <f t="shared" si="5"/>
        <v>0</v>
      </c>
      <c r="E22" s="156">
        <f t="shared" si="5"/>
        <v>0</v>
      </c>
      <c r="F22" s="156">
        <f t="shared" si="5"/>
        <v>0</v>
      </c>
      <c r="G22" s="156">
        <f t="shared" si="5"/>
        <v>0</v>
      </c>
    </row>
    <row r="23" spans="1:12" ht="24.75" customHeight="1">
      <c r="A23" s="392" t="s">
        <v>714</v>
      </c>
      <c r="B23" s="392"/>
      <c r="C23" s="392"/>
      <c r="D23" s="392"/>
      <c r="E23" s="392"/>
      <c r="F23" s="392"/>
      <c r="G23" s="392"/>
      <c r="H23" s="28"/>
      <c r="I23" s="28"/>
    </row>
    <row r="26" spans="1:12" s="71" customFormat="1" ht="30" customHeight="1" thickBot="1">
      <c r="A26" s="377" t="s">
        <v>715</v>
      </c>
      <c r="B26" s="378"/>
      <c r="C26" s="378"/>
      <c r="D26" s="378"/>
      <c r="E26" s="378"/>
      <c r="F26" s="378"/>
      <c r="G26" s="378"/>
      <c r="H26" s="378"/>
      <c r="I26" s="378"/>
      <c r="J26" s="378"/>
      <c r="K26" s="378"/>
      <c r="L26" s="378"/>
    </row>
    <row r="27" spans="1:12">
      <c r="A27" s="15" t="s">
        <v>716</v>
      </c>
    </row>
    <row r="29" spans="1:12" s="64" customFormat="1">
      <c r="A29" s="60" t="s">
        <v>384</v>
      </c>
      <c r="B29" s="165" t="s">
        <v>717</v>
      </c>
      <c r="C29" s="165" t="s">
        <v>718</v>
      </c>
      <c r="D29" s="165" t="s">
        <v>719</v>
      </c>
      <c r="E29" s="165" t="s">
        <v>720</v>
      </c>
      <c r="F29" s="165" t="s">
        <v>721</v>
      </c>
      <c r="G29" s="165" t="s">
        <v>722</v>
      </c>
      <c r="H29" s="165" t="s">
        <v>723</v>
      </c>
      <c r="I29" s="165" t="s">
        <v>724</v>
      </c>
    </row>
    <row r="30" spans="1:12" ht="27.75" customHeight="1">
      <c r="A30" s="28" t="s">
        <v>244</v>
      </c>
      <c r="B30" s="75">
        <v>0</v>
      </c>
      <c r="C30" s="75">
        <v>0</v>
      </c>
      <c r="D30" s="75">
        <v>0</v>
      </c>
      <c r="E30" s="75">
        <v>0</v>
      </c>
      <c r="F30" s="75">
        <v>16</v>
      </c>
      <c r="G30" s="75">
        <v>2.1</v>
      </c>
      <c r="H30" s="129" t="s">
        <v>725</v>
      </c>
      <c r="I30" s="153">
        <v>1522039</v>
      </c>
    </row>
    <row r="31" spans="1:12" ht="24">
      <c r="A31" s="28" t="s">
        <v>254</v>
      </c>
      <c r="B31" s="75">
        <v>0</v>
      </c>
      <c r="C31" s="75">
        <v>0</v>
      </c>
      <c r="D31" s="75">
        <v>0</v>
      </c>
      <c r="E31" s="75">
        <v>0</v>
      </c>
      <c r="F31" s="75">
        <v>10</v>
      </c>
      <c r="G31" s="75">
        <v>1.78</v>
      </c>
      <c r="H31" s="129" t="s">
        <v>726</v>
      </c>
      <c r="I31" s="153">
        <v>1120652</v>
      </c>
    </row>
    <row r="32" spans="1:12">
      <c r="A32" s="28" t="s">
        <v>727</v>
      </c>
      <c r="B32" s="75">
        <v>0</v>
      </c>
      <c r="C32" s="75">
        <v>0</v>
      </c>
      <c r="D32" s="75">
        <v>0</v>
      </c>
      <c r="E32" s="75">
        <v>0</v>
      </c>
      <c r="F32" s="75">
        <v>2</v>
      </c>
      <c r="G32" s="75">
        <v>6.74</v>
      </c>
      <c r="H32" s="129" t="s">
        <v>728</v>
      </c>
      <c r="I32" s="153">
        <v>59356</v>
      </c>
    </row>
    <row r="33" spans="1:12">
      <c r="A33" s="28" t="s">
        <v>259</v>
      </c>
      <c r="B33" s="75">
        <v>0</v>
      </c>
      <c r="C33" s="75">
        <v>0</v>
      </c>
      <c r="D33" s="75">
        <v>0</v>
      </c>
      <c r="E33" s="75">
        <v>0</v>
      </c>
      <c r="F33" s="75">
        <v>1</v>
      </c>
      <c r="G33" s="75">
        <v>1.76</v>
      </c>
      <c r="H33" s="129" t="s">
        <v>729</v>
      </c>
      <c r="I33" s="153">
        <v>113859</v>
      </c>
    </row>
    <row r="34" spans="1:12">
      <c r="A34" s="28" t="s">
        <v>262</v>
      </c>
      <c r="B34" s="75">
        <v>0</v>
      </c>
      <c r="C34" s="75">
        <v>0</v>
      </c>
      <c r="D34" s="75">
        <v>0</v>
      </c>
      <c r="E34" s="75">
        <v>0</v>
      </c>
      <c r="F34" s="75">
        <v>0</v>
      </c>
      <c r="G34" s="75">
        <v>0</v>
      </c>
      <c r="H34" s="129" t="s">
        <v>17</v>
      </c>
      <c r="I34" s="153">
        <v>164181</v>
      </c>
    </row>
    <row r="35" spans="1:12">
      <c r="A35" s="28" t="s">
        <v>730</v>
      </c>
      <c r="B35" s="75">
        <v>0</v>
      </c>
      <c r="C35" s="75">
        <v>0</v>
      </c>
      <c r="D35" s="75">
        <v>0</v>
      </c>
      <c r="E35" s="75">
        <v>0</v>
      </c>
      <c r="F35" s="75">
        <v>0</v>
      </c>
      <c r="G35" s="75">
        <v>0</v>
      </c>
      <c r="H35" s="129" t="s">
        <v>17</v>
      </c>
      <c r="I35" s="153">
        <v>413548</v>
      </c>
    </row>
    <row r="36" spans="1:12">
      <c r="A36" s="28" t="s">
        <v>731</v>
      </c>
      <c r="B36" s="75">
        <v>0</v>
      </c>
      <c r="C36" s="75">
        <v>0</v>
      </c>
      <c r="D36" s="75">
        <v>0</v>
      </c>
      <c r="E36" s="75">
        <v>0</v>
      </c>
      <c r="F36" s="75">
        <v>0</v>
      </c>
      <c r="G36" s="75">
        <v>0</v>
      </c>
      <c r="H36" s="129" t="s">
        <v>17</v>
      </c>
      <c r="I36" s="153">
        <v>105788</v>
      </c>
    </row>
    <row r="37" spans="1:12" ht="15.75" thickBot="1">
      <c r="A37" s="157" t="s">
        <v>416</v>
      </c>
      <c r="B37" s="78">
        <f>SUBTOTAL(109,Tabla28['# Fatalities])</f>
        <v>0</v>
      </c>
      <c r="C37" s="78">
        <f>SUBTOTAL(109,Tabla28[Rate Fatalities])</f>
        <v>0</v>
      </c>
      <c r="D37" s="78">
        <f>SUBTOTAL(109,Tabla28['# High-consequence Work-related Injuries])</f>
        <v>0</v>
      </c>
      <c r="E37" s="78">
        <f>SUBTOTAL(109,Tabla28[High-consequence Work-related Injuries Rate (1)])</f>
        <v>0</v>
      </c>
      <c r="F37" s="78">
        <f>SUBTOTAL(109,Tabla28['# Recordable Work-related Injuries])</f>
        <v>29</v>
      </c>
      <c r="G37" s="78">
        <f>SUBTOTAL(109,Tabla28[Recordable Work-related Injuries Rate (2)])</f>
        <v>12.38</v>
      </c>
      <c r="H37" s="66"/>
      <c r="I37" s="158">
        <f>SUBTOTAL(109,Tabla28['# Hours Worked])</f>
        <v>3499423</v>
      </c>
    </row>
    <row r="38" spans="1:12" ht="15.75" thickTop="1">
      <c r="A38" s="145"/>
    </row>
    <row r="40" spans="1:12" s="71" customFormat="1" ht="30" customHeight="1" thickBot="1">
      <c r="A40" s="377" t="s">
        <v>732</v>
      </c>
      <c r="B40" s="378"/>
      <c r="C40" s="378"/>
      <c r="D40" s="378"/>
      <c r="E40" s="378"/>
      <c r="F40" s="378"/>
      <c r="G40" s="378"/>
      <c r="H40" s="378"/>
      <c r="I40" s="378"/>
      <c r="J40" s="378"/>
      <c r="K40" s="378"/>
      <c r="L40" s="378"/>
    </row>
    <row r="41" spans="1:12">
      <c r="A41" s="15" t="s">
        <v>716</v>
      </c>
    </row>
    <row r="43" spans="1:12" s="64" customFormat="1">
      <c r="A43" s="60" t="s">
        <v>384</v>
      </c>
      <c r="B43" s="165" t="s">
        <v>717</v>
      </c>
      <c r="C43" s="165" t="s">
        <v>718</v>
      </c>
      <c r="D43" s="165" t="s">
        <v>719</v>
      </c>
      <c r="E43" s="165" t="s">
        <v>720</v>
      </c>
      <c r="F43" s="165" t="s">
        <v>721</v>
      </c>
      <c r="G43" s="165" t="s">
        <v>722</v>
      </c>
      <c r="H43" s="165" t="s">
        <v>723</v>
      </c>
      <c r="I43" s="165" t="s">
        <v>724</v>
      </c>
    </row>
    <row r="44" spans="1:12">
      <c r="A44" s="28" t="s">
        <v>244</v>
      </c>
      <c r="B44" s="75">
        <v>0</v>
      </c>
      <c r="C44" s="75">
        <v>0</v>
      </c>
      <c r="D44" s="75">
        <v>1</v>
      </c>
      <c r="E44" s="75">
        <v>7.0000000000000007E-2</v>
      </c>
      <c r="F44" s="75">
        <v>10</v>
      </c>
      <c r="G44" s="75">
        <v>0.74</v>
      </c>
      <c r="H44" s="61" t="s">
        <v>733</v>
      </c>
      <c r="I44" s="153">
        <v>2688743</v>
      </c>
    </row>
    <row r="45" spans="1:12">
      <c r="A45" s="28" t="s">
        <v>254</v>
      </c>
      <c r="B45" s="75">
        <v>0</v>
      </c>
      <c r="C45" s="75">
        <v>1</v>
      </c>
      <c r="D45" s="75">
        <v>0</v>
      </c>
      <c r="E45" s="75">
        <v>0</v>
      </c>
      <c r="F45" s="75">
        <v>13</v>
      </c>
      <c r="G45" s="75">
        <v>1.3</v>
      </c>
      <c r="H45" s="61" t="s">
        <v>734</v>
      </c>
      <c r="I45" s="153">
        <v>2003974</v>
      </c>
    </row>
    <row r="46" spans="1:12">
      <c r="A46" s="28" t="s">
        <v>727</v>
      </c>
      <c r="B46" s="75">
        <v>0</v>
      </c>
      <c r="C46" s="75">
        <v>0</v>
      </c>
      <c r="D46" s="75">
        <v>0</v>
      </c>
      <c r="E46" s="159"/>
      <c r="F46" s="75">
        <v>0</v>
      </c>
      <c r="G46" s="75">
        <v>0</v>
      </c>
      <c r="H46" s="61">
        <v>0</v>
      </c>
      <c r="I46" s="153">
        <v>1346378</v>
      </c>
    </row>
    <row r="47" spans="1:12">
      <c r="A47" s="28" t="s">
        <v>259</v>
      </c>
      <c r="B47" s="75">
        <v>0</v>
      </c>
      <c r="C47" s="75">
        <v>0</v>
      </c>
      <c r="D47" s="75">
        <v>0</v>
      </c>
      <c r="E47" s="75">
        <v>0</v>
      </c>
      <c r="F47" s="75">
        <v>1</v>
      </c>
      <c r="G47" s="75">
        <v>1.03</v>
      </c>
      <c r="H47" s="61" t="s">
        <v>735</v>
      </c>
      <c r="I47" s="153">
        <v>194978</v>
      </c>
    </row>
    <row r="48" spans="1:12">
      <c r="A48" s="28" t="s">
        <v>262</v>
      </c>
      <c r="B48" s="75">
        <v>0</v>
      </c>
      <c r="C48" s="75">
        <v>0</v>
      </c>
      <c r="D48" s="75">
        <v>0</v>
      </c>
      <c r="E48" s="75">
        <v>0</v>
      </c>
      <c r="F48" s="75">
        <v>0</v>
      </c>
      <c r="G48" s="75">
        <v>0</v>
      </c>
      <c r="H48" s="61">
        <v>0</v>
      </c>
      <c r="I48" s="153">
        <v>80948</v>
      </c>
    </row>
    <row r="49" spans="1:12" ht="15.75" thickBot="1">
      <c r="A49" s="157" t="s">
        <v>416</v>
      </c>
      <c r="B49" s="78">
        <f>SUBTOTAL(109,Tabla29['# Fatalities])</f>
        <v>0</v>
      </c>
      <c r="C49" s="78">
        <f>SUBTOTAL(109,Tabla29[Rate Fatalities])</f>
        <v>1</v>
      </c>
      <c r="D49" s="78">
        <f>SUBTOTAL(109,Tabla29['# High-consequence Work-related Injuries])</f>
        <v>1</v>
      </c>
      <c r="E49" s="78">
        <f>SUBTOTAL(109,Tabla29[High-consequence Work-related Injuries Rate (1)])</f>
        <v>7.0000000000000007E-2</v>
      </c>
      <c r="F49" s="78">
        <f>SUBTOTAL(109,Tabla29['# Recordable Work-related Injuries])</f>
        <v>24</v>
      </c>
      <c r="G49" s="78">
        <f>SUBTOTAL(109,Tabla29[Recordable Work-related Injuries Rate (2)])</f>
        <v>3.0700000000000003</v>
      </c>
      <c r="H49" s="66"/>
      <c r="I49" s="158">
        <f>SUBTOTAL(109,Tabla29['# Hours Worked])</f>
        <v>6315021</v>
      </c>
    </row>
    <row r="50" spans="1:12" ht="50.25" customHeight="1" thickTop="1">
      <c r="A50" s="383" t="s">
        <v>736</v>
      </c>
      <c r="B50" s="383"/>
      <c r="C50" s="383"/>
      <c r="D50" s="383"/>
      <c r="E50" s="383"/>
      <c r="F50" s="383"/>
      <c r="G50" s="383"/>
      <c r="H50" s="383"/>
      <c r="I50" s="383"/>
    </row>
    <row r="51" spans="1:12">
      <c r="A51" s="383"/>
      <c r="B51" s="383"/>
      <c r="C51" s="383"/>
      <c r="D51" s="383"/>
      <c r="E51" s="383"/>
      <c r="F51" s="383"/>
      <c r="G51" s="383"/>
      <c r="H51" s="383"/>
      <c r="I51" s="383"/>
    </row>
    <row r="53" spans="1:12" s="71" customFormat="1" ht="30" customHeight="1" thickBot="1">
      <c r="A53" s="377" t="s">
        <v>737</v>
      </c>
      <c r="B53" s="378"/>
      <c r="C53" s="378"/>
      <c r="D53" s="378"/>
      <c r="E53" s="378"/>
      <c r="F53" s="378"/>
      <c r="G53" s="378"/>
      <c r="H53" s="378"/>
      <c r="I53" s="378"/>
      <c r="J53" s="378"/>
      <c r="K53" s="378"/>
      <c r="L53" s="378"/>
    </row>
    <row r="54" spans="1:12">
      <c r="A54" s="15" t="s">
        <v>716</v>
      </c>
    </row>
    <row r="55" spans="1:12">
      <c r="A55" s="15"/>
    </row>
    <row r="56" spans="1:12">
      <c r="A56" s="70" t="s">
        <v>384</v>
      </c>
      <c r="B56" s="142" t="s">
        <v>738</v>
      </c>
      <c r="C56" s="142" t="s">
        <v>739</v>
      </c>
    </row>
    <row r="57" spans="1:12" ht="24">
      <c r="A57" s="28" t="s">
        <v>244</v>
      </c>
      <c r="B57" s="75">
        <v>16</v>
      </c>
      <c r="C57" s="28" t="s">
        <v>740</v>
      </c>
    </row>
    <row r="58" spans="1:12" ht="24">
      <c r="A58" s="28" t="s">
        <v>254</v>
      </c>
      <c r="B58" s="75">
        <v>10</v>
      </c>
      <c r="C58" s="28" t="s">
        <v>740</v>
      </c>
    </row>
    <row r="59" spans="1:12">
      <c r="A59" s="28" t="s">
        <v>741</v>
      </c>
      <c r="B59" s="75">
        <v>2</v>
      </c>
      <c r="C59" s="28" t="s">
        <v>742</v>
      </c>
    </row>
    <row r="60" spans="1:12">
      <c r="A60" s="28" t="s">
        <v>259</v>
      </c>
      <c r="B60" s="75">
        <v>0</v>
      </c>
      <c r="C60" s="61" t="s">
        <v>743</v>
      </c>
    </row>
    <row r="61" spans="1:12">
      <c r="A61" s="28" t="s">
        <v>262</v>
      </c>
      <c r="B61" s="75">
        <v>0</v>
      </c>
      <c r="C61" s="61"/>
    </row>
    <row r="64" spans="1:12" s="71" customFormat="1" ht="30" customHeight="1" thickBot="1">
      <c r="A64" s="377" t="s">
        <v>744</v>
      </c>
      <c r="B64" s="378"/>
      <c r="C64" s="378"/>
      <c r="D64" s="378"/>
      <c r="E64" s="378"/>
      <c r="F64" s="378"/>
      <c r="G64" s="378"/>
      <c r="H64" s="378"/>
      <c r="I64" s="378"/>
      <c r="J64" s="378"/>
      <c r="K64" s="378"/>
      <c r="L64" s="378"/>
    </row>
    <row r="65" spans="1:12">
      <c r="A65" s="15" t="s">
        <v>716</v>
      </c>
    </row>
    <row r="66" spans="1:12">
      <c r="A66" s="15"/>
    </row>
    <row r="67" spans="1:12">
      <c r="A67" s="70" t="s">
        <v>384</v>
      </c>
      <c r="B67" s="142" t="s">
        <v>745</v>
      </c>
      <c r="C67" s="142" t="s">
        <v>746</v>
      </c>
    </row>
    <row r="68" spans="1:12" ht="24">
      <c r="A68" s="28" t="s">
        <v>244</v>
      </c>
      <c r="B68" s="75">
        <v>28</v>
      </c>
      <c r="C68" s="28" t="s">
        <v>747</v>
      </c>
    </row>
    <row r="69" spans="1:12" ht="36">
      <c r="A69" s="28" t="s">
        <v>254</v>
      </c>
      <c r="B69" s="75">
        <v>41</v>
      </c>
      <c r="C69" s="28" t="s">
        <v>748</v>
      </c>
    </row>
    <row r="70" spans="1:12" ht="36">
      <c r="A70" s="28" t="s">
        <v>741</v>
      </c>
      <c r="B70" s="75">
        <v>14</v>
      </c>
      <c r="C70" s="28" t="s">
        <v>749</v>
      </c>
    </row>
    <row r="71" spans="1:12">
      <c r="A71" s="28" t="s">
        <v>259</v>
      </c>
      <c r="B71" s="75">
        <v>0</v>
      </c>
      <c r="C71" s="61"/>
    </row>
    <row r="72" spans="1:12">
      <c r="A72" s="28" t="s">
        <v>262</v>
      </c>
      <c r="B72" s="75">
        <v>0</v>
      </c>
      <c r="C72" s="61"/>
    </row>
    <row r="73" spans="1:12" ht="15.75" thickBot="1">
      <c r="A73" s="157" t="s">
        <v>416</v>
      </c>
      <c r="B73" s="78">
        <f>SUBTOTAL(109,Tabla31['# High-potential Work-related Incidents Identified])</f>
        <v>83</v>
      </c>
      <c r="C73" s="157"/>
    </row>
    <row r="74" spans="1:12" ht="15.75" thickTop="1"/>
    <row r="76" spans="1:12" s="71" customFormat="1" ht="30" customHeight="1" thickBot="1">
      <c r="A76" s="377" t="s">
        <v>750</v>
      </c>
      <c r="B76" s="378"/>
      <c r="C76" s="378"/>
      <c r="D76" s="378"/>
      <c r="E76" s="378"/>
      <c r="F76" s="378"/>
      <c r="G76" s="378"/>
      <c r="H76" s="378"/>
      <c r="I76" s="378"/>
      <c r="J76" s="378"/>
      <c r="K76" s="378"/>
      <c r="L76" s="378"/>
    </row>
    <row r="77" spans="1:12">
      <c r="A77" s="15" t="s">
        <v>751</v>
      </c>
    </row>
    <row r="79" spans="1:12">
      <c r="A79" s="142" t="s">
        <v>384</v>
      </c>
      <c r="B79" s="142" t="s">
        <v>717</v>
      </c>
      <c r="C79" s="142" t="s">
        <v>752</v>
      </c>
      <c r="D79" s="142" t="s">
        <v>753</v>
      </c>
    </row>
    <row r="80" spans="1:12">
      <c r="A80" s="28" t="s">
        <v>244</v>
      </c>
      <c r="B80" s="75">
        <v>0</v>
      </c>
      <c r="C80" s="75" t="s">
        <v>754</v>
      </c>
      <c r="D80" s="75" t="s">
        <v>754</v>
      </c>
    </row>
    <row r="81" spans="1:12">
      <c r="A81" s="28" t="s">
        <v>254</v>
      </c>
      <c r="B81" s="75">
        <v>0</v>
      </c>
      <c r="C81" s="75" t="s">
        <v>754</v>
      </c>
      <c r="D81" s="75" t="s">
        <v>754</v>
      </c>
    </row>
    <row r="82" spans="1:12">
      <c r="A82" s="28" t="s">
        <v>259</v>
      </c>
      <c r="B82" s="75">
        <v>0</v>
      </c>
      <c r="C82" s="75" t="s">
        <v>754</v>
      </c>
      <c r="D82" s="75" t="s">
        <v>754</v>
      </c>
    </row>
    <row r="83" spans="1:12">
      <c r="A83" s="28" t="s">
        <v>262</v>
      </c>
      <c r="B83" s="75">
        <v>0</v>
      </c>
      <c r="C83" s="75" t="s">
        <v>754</v>
      </c>
      <c r="D83" s="75" t="s">
        <v>754</v>
      </c>
    </row>
    <row r="84" spans="1:12" ht="15.75" thickBot="1">
      <c r="A84" s="157" t="s">
        <v>416</v>
      </c>
      <c r="B84" s="78">
        <v>0</v>
      </c>
      <c r="C84" s="78" t="s">
        <v>754</v>
      </c>
      <c r="D84" s="78" t="s">
        <v>754</v>
      </c>
    </row>
    <row r="85" spans="1:12" ht="30.75" customHeight="1" thickTop="1">
      <c r="A85" s="383" t="s">
        <v>755</v>
      </c>
      <c r="B85" s="383"/>
      <c r="C85" s="383"/>
      <c r="D85" s="383"/>
      <c r="E85" s="383"/>
      <c r="F85" s="383"/>
      <c r="G85" s="383"/>
      <c r="H85" s="383"/>
      <c r="I85" s="383"/>
    </row>
    <row r="88" spans="1:12" s="71" customFormat="1" ht="30" customHeight="1" thickBot="1">
      <c r="A88" s="377" t="s">
        <v>756</v>
      </c>
      <c r="B88" s="378"/>
      <c r="C88" s="378"/>
      <c r="D88" s="378"/>
      <c r="E88" s="378"/>
      <c r="F88" s="378"/>
      <c r="G88" s="378"/>
      <c r="H88" s="378"/>
      <c r="I88" s="378"/>
      <c r="J88" s="378"/>
      <c r="K88" s="378"/>
      <c r="L88" s="378"/>
    </row>
    <row r="89" spans="1:12">
      <c r="A89" s="15" t="s">
        <v>751</v>
      </c>
    </row>
    <row r="91" spans="1:12">
      <c r="A91" s="142" t="s">
        <v>384</v>
      </c>
      <c r="B91" s="142" t="s">
        <v>717</v>
      </c>
      <c r="C91" s="142" t="s">
        <v>752</v>
      </c>
      <c r="D91" s="142" t="s">
        <v>753</v>
      </c>
    </row>
    <row r="92" spans="1:12">
      <c r="A92" s="28" t="s">
        <v>244</v>
      </c>
      <c r="B92" s="75">
        <v>0</v>
      </c>
      <c r="C92" s="75" t="s">
        <v>754</v>
      </c>
      <c r="D92" s="75" t="s">
        <v>754</v>
      </c>
    </row>
    <row r="93" spans="1:12">
      <c r="A93" s="28" t="s">
        <v>254</v>
      </c>
      <c r="B93" s="75">
        <v>0</v>
      </c>
      <c r="C93" s="75" t="s">
        <v>754</v>
      </c>
      <c r="D93" s="75" t="s">
        <v>754</v>
      </c>
    </row>
    <row r="94" spans="1:12">
      <c r="A94" s="28" t="s">
        <v>259</v>
      </c>
      <c r="B94" s="75">
        <v>0</v>
      </c>
      <c r="C94" s="75" t="s">
        <v>754</v>
      </c>
      <c r="D94" s="75" t="s">
        <v>754</v>
      </c>
    </row>
    <row r="95" spans="1:12">
      <c r="A95" s="28" t="s">
        <v>262</v>
      </c>
      <c r="B95" s="75">
        <v>0</v>
      </c>
      <c r="C95" s="75" t="s">
        <v>754</v>
      </c>
      <c r="D95" s="75" t="s">
        <v>754</v>
      </c>
    </row>
    <row r="96" spans="1:12" ht="15.75" thickBot="1">
      <c r="A96" s="157" t="s">
        <v>416</v>
      </c>
      <c r="B96" s="78">
        <v>0</v>
      </c>
      <c r="C96" s="78" t="s">
        <v>754</v>
      </c>
      <c r="D96" s="78" t="s">
        <v>754</v>
      </c>
    </row>
    <row r="97" spans="1:12" ht="30.75" customHeight="1" thickTop="1">
      <c r="A97" s="383" t="s">
        <v>755</v>
      </c>
      <c r="B97" s="383"/>
      <c r="C97" s="383"/>
      <c r="D97" s="383"/>
      <c r="E97" s="383"/>
      <c r="F97" s="383"/>
      <c r="G97" s="383"/>
      <c r="H97" s="383"/>
      <c r="I97" s="383"/>
    </row>
    <row r="100" spans="1:12" s="71" customFormat="1" ht="30" customHeight="1" thickBot="1">
      <c r="A100" s="377" t="s">
        <v>757</v>
      </c>
      <c r="B100" s="378"/>
      <c r="C100" s="378"/>
      <c r="D100" s="378"/>
      <c r="E100" s="378"/>
      <c r="F100" s="378"/>
      <c r="G100" s="378"/>
      <c r="H100" s="378"/>
      <c r="I100" s="378"/>
      <c r="J100" s="378"/>
      <c r="K100" s="378"/>
      <c r="L100" s="378"/>
    </row>
    <row r="101" spans="1:12">
      <c r="A101" s="15" t="s">
        <v>758</v>
      </c>
    </row>
    <row r="103" spans="1:12" s="161" customFormat="1">
      <c r="A103" s="166"/>
      <c r="B103" s="167" t="s">
        <v>759</v>
      </c>
      <c r="C103" s="168" t="s">
        <v>760</v>
      </c>
      <c r="D103" s="160"/>
    </row>
    <row r="104" spans="1:12">
      <c r="A104" s="17" t="s">
        <v>761</v>
      </c>
      <c r="B104" s="162">
        <v>830</v>
      </c>
      <c r="C104" s="163">
        <v>4</v>
      </c>
      <c r="D104" s="164"/>
    </row>
    <row r="105" spans="1:12" ht="36" customHeight="1">
      <c r="A105" s="383" t="s">
        <v>762</v>
      </c>
      <c r="B105" s="383"/>
      <c r="C105" s="383"/>
      <c r="D105" s="383"/>
    </row>
    <row r="106" spans="1:12">
      <c r="A106" s="421"/>
      <c r="B106" s="421"/>
      <c r="C106" s="421"/>
      <c r="D106" s="421"/>
    </row>
  </sheetData>
  <mergeCells count="17">
    <mergeCell ref="A76:L76"/>
    <mergeCell ref="A40:L40"/>
    <mergeCell ref="A53:L53"/>
    <mergeCell ref="A64:L64"/>
    <mergeCell ref="A88:L88"/>
    <mergeCell ref="A1:L1"/>
    <mergeCell ref="A10:L10"/>
    <mergeCell ref="A26:L26"/>
    <mergeCell ref="A50:I50"/>
    <mergeCell ref="A51:I51"/>
    <mergeCell ref="A8:G8"/>
    <mergeCell ref="A23:G23"/>
    <mergeCell ref="A85:I85"/>
    <mergeCell ref="A97:I97"/>
    <mergeCell ref="A100:L100"/>
    <mergeCell ref="A105:D105"/>
    <mergeCell ref="A106:D106"/>
  </mergeCells>
  <pageMargins left="0.7" right="0.7" top="0.75" bottom="0.75" header="0.3" footer="0.3"/>
  <drawing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72</vt:i4>
      </vt:variant>
    </vt:vector>
  </HeadingPairs>
  <TitlesOfParts>
    <vt:vector size="88" baseType="lpstr">
      <vt:lpstr>Wiki</vt:lpstr>
      <vt:lpstr>Overview</vt:lpstr>
      <vt:lpstr>ASM</vt:lpstr>
      <vt:lpstr>Biodiversity</vt:lpstr>
      <vt:lpstr>Climate Change</vt:lpstr>
      <vt:lpstr>Communities &amp; IPs</vt:lpstr>
      <vt:lpstr>CorpGov &amp; Business Ethics</vt:lpstr>
      <vt:lpstr>Environmental Mgmt</vt:lpstr>
      <vt:lpstr>Health &amp; Safety</vt:lpstr>
      <vt:lpstr>Labour Rights</vt:lpstr>
      <vt:lpstr>Resettlement</vt:lpstr>
      <vt:lpstr>Resp. Procurement</vt:lpstr>
      <vt:lpstr>Security Practices</vt:lpstr>
      <vt:lpstr>Socio-econ. Contributions</vt:lpstr>
      <vt:lpstr>Waste &amp; Materials</vt:lpstr>
      <vt:lpstr>Water &amp; Effluents</vt:lpstr>
      <vt:lpstr>_1._2021_Sustainability_scorecard</vt:lpstr>
      <vt:lpstr>_10._Communications_and_training_on_anti_corruption_policies_and_procedures</vt:lpstr>
      <vt:lpstr>_11._Confirmed_incidents_of_corruption_and_actions_taken</vt:lpstr>
      <vt:lpstr>_12._New_suppliers_that_were_screened_using_environmental___social_criteria</vt:lpstr>
      <vt:lpstr>_13._Security_personnel_trained_in_human_rights_policies_or_procedures</vt:lpstr>
      <vt:lpstr>_14._Description_of_environmental_management_policies_and_practices__EMPs__for_active_sites</vt:lpstr>
      <vt:lpstr>_15._Potential_risks_to_water_sources</vt:lpstr>
      <vt:lpstr>_16._Water_withdrawal_by_source__ML</vt:lpstr>
      <vt:lpstr>_17._Water_discharge__ML</vt:lpstr>
      <vt:lpstr>_18._Water_consumption__ML</vt:lpstr>
      <vt:lpstr>_19._Cyanide_Intensity</vt:lpstr>
      <vt:lpstr>_2._Entities_included_in_the_organization_s_sustainability_reporting</vt:lpstr>
      <vt:lpstr>_20._Total_amounts_of_overburden__rock__tailings__and_sludges_and_their_associated_risks</vt:lpstr>
      <vt:lpstr>_21._Waste_generated</vt:lpstr>
      <vt:lpstr>_22._Waste_diverted_from_disposal</vt:lpstr>
      <vt:lpstr>_23._Waste_directed_to_disposal</vt:lpstr>
      <vt:lpstr>_24._Total_weight_of_non_mineral_waste_generated__in_metric_tons__T</vt:lpstr>
      <vt:lpstr>_25._Tailings_storage_facility_inventory_table</vt:lpstr>
      <vt:lpstr>_26._Number_of_tailings_impoundments__broken_down_by_MSHA_hazard_potential</vt:lpstr>
      <vt:lpstr>_27._Significant_impacts_of_activities__products_and_services_on_biodiversity</vt:lpstr>
      <vt:lpstr>_28._Habitats_protected_or_restored</vt:lpstr>
      <vt:lpstr>_29._Amount_of_land_owned_or_leased__and_managed_for_production_activities_or_extractive_use__disturbed_or_rehabilitated</vt:lpstr>
      <vt:lpstr>_3._2021_Data</vt:lpstr>
      <vt:lpstr>_30._Number_and_percentage_of_total_sites_identified_as_requiring_biodiversity_management_plans_according_to_stated_criteria__and_number__and_percentage__of_those_sites_with_plans_in_place</vt:lpstr>
      <vt:lpstr>_31._Number_and_percentage_of_operations_with_closure_plans</vt:lpstr>
      <vt:lpstr>_32._Energy_consumption_within_the_organization</vt:lpstr>
      <vt:lpstr>_33._Energy_intensity</vt:lpstr>
      <vt:lpstr>_34._GHG_emissions_intensity__Scopes_1_2____metric_tons_Coe_per_tonne_of_ore_processed</vt:lpstr>
      <vt:lpstr>_35._Employees</vt:lpstr>
      <vt:lpstr>_36._Workers_who_are_not_employees__Contractors_workforce</vt:lpstr>
      <vt:lpstr>_37._New_employee_hires_and_employee_turnover</vt:lpstr>
      <vt:lpstr>_38._Average_hours_of_training_per_year_per_employee_by_gender</vt:lpstr>
      <vt:lpstr>_39._Percentage_of_employees_per_employee_category_in_diversity_categories</vt:lpstr>
      <vt:lpstr>_4._Memberships_and_associations</vt:lpstr>
      <vt:lpstr>_40._Ratio_of_basic_salary_and_remuneration_of_women_to_men</vt:lpstr>
      <vt:lpstr>_41._Collective_bargaining_agreements</vt:lpstr>
      <vt:lpstr>_42._Worker_training_on_occupational_health_and_safety</vt:lpstr>
      <vt:lpstr>_43._Workers_covered_by_an_occupational_health_and_safety_management_system</vt:lpstr>
      <vt:lpstr>_44._Employee_data_on_work_related_injuries</vt:lpstr>
      <vt:lpstr>_45._Contractor_data_on_work_related_injuries</vt:lpstr>
      <vt:lpstr>_46._Recordable_work_related_injury_by_type_of_incident</vt:lpstr>
      <vt:lpstr>_47._Other_relevant_data</vt:lpstr>
      <vt:lpstr>_48._Employee_data_on_work_related_ill_health</vt:lpstr>
      <vt:lpstr>_49._Contractor_data_on_work_related_ill_health</vt:lpstr>
      <vt:lpstr>_5._Approach_to_stakeholder_engagement</vt:lpstr>
      <vt:lpstr>_50._Death_rate_due_to_road_traffic_injuries</vt:lpstr>
      <vt:lpstr>_51._Public_consultations_held</vt:lpstr>
      <vt:lpstr>_52._Operations_with_local_community_engagement__impact_assessments__and_development_programs</vt:lpstr>
      <vt:lpstr>_53._Operations_with_significant_actual_and_potential_negative_impacts_on_local_communities</vt:lpstr>
      <vt:lpstr>_54._Total_number_of_operations_taking_place_in_or_adjacent_to_Indigenous_Peoples__territories__and_number_and_percentage_of_operations_or_sites_where_there_are_formal_agreements_with_Indigenous_Peoples__communities</vt:lpstr>
      <vt:lpstr>_55._Number_and_description_of_significant_disputes_1__relating_to_land_use__customary_rights_of_local_communities_and_Indigenous_Peoples</vt:lpstr>
      <vt:lpstr>_56._Extent_to_which_grievance_mechanisms_were_used_to_resolve_disputes_relating_to_land_use__customary_rights_of_local_communities_and_Indigenous_Peoples__and_the_outcomes</vt:lpstr>
      <vt:lpstr>_57._Proportion_of_population_who_have_experienced_a_dispute_in_the_past_two_years_and_who_accessed_a_formal_or_informal_dispute_resolution_mechanism__by_type_of_mechanism</vt:lpstr>
      <vt:lpstr>_58._Sites_where_resettlement_took_place__the_number_of_household_resettled_in_each__and_how_their_livelihoods_were_affected_in_the_process</vt:lpstr>
      <vt:lpstr>_59._Proportion_of_population_living_in_households_with_access_to_basic_services</vt:lpstr>
      <vt:lpstr>_6._List_of_material_topics</vt:lpstr>
      <vt:lpstr>_60._Proportion_of_total_adult_population_with_secure_tenure_rights_to_land__with_legally_recognized_documentation_and_who_perceive_their_rights_to_land_as_secure__by_sex_and_by_type_of_tenure</vt:lpstr>
      <vt:lpstr>_61._Proportion_of_urban_population_living_in_slums__informal_settlements_or_inadequate_housing</vt:lpstr>
      <vt:lpstr>_62._Proportion_of_urban_population_using_safely_managed_drinking_water_services</vt:lpstr>
      <vt:lpstr>_63._Proportion_of_population_using_safely_managed_sanitation_services</vt:lpstr>
      <vt:lpstr>_64._Proportion_of_population_who_believe_decision_making_is_inclusive_and_responsive</vt:lpstr>
      <vt:lpstr>_65._Number__and_percentage__of_company_operating_sites_where_ASM_takes_place_on__or_adjacent_to__the_site__the_associated_risks_and_the_actions_taken_to_manage_and_mitigate_these_risks</vt:lpstr>
      <vt:lpstr>_66._Proportion_of_bodies_of_water_with_good_ambient_water_quality</vt:lpstr>
      <vt:lpstr>_67._Direct_economic_value_generated_and_distributed___Million_USD</vt:lpstr>
      <vt:lpstr>_68._Ratios_of_standard_entry_level_wage_by_gender_compared_to_local_minimum_wage</vt:lpstr>
      <vt:lpstr>_69._Infrastructure_investments_and_services_supported</vt:lpstr>
      <vt:lpstr>_7._Governance_structure_and_composition__diversity_of_governance_bodies</vt:lpstr>
      <vt:lpstr>_71._Proportion_of_spending_on_local_suppliers</vt:lpstr>
      <vt:lpstr>_8._Mechanisms_for_seeking_advise_and_raising_concerns</vt:lpstr>
      <vt:lpstr>_9._Operations_assessed_for_risk_related_to_corruption</vt:lpstr>
      <vt:lpstr>Table_70._Significant_indirect_economic_impacts</vt:lpstr>
      <vt:lpstr>Table_71._Proportion_of_spending_on_local_suppliers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Habed</dc:creator>
  <cp:keywords/>
  <dc:description/>
  <cp:lastModifiedBy>Luz Habed</cp:lastModifiedBy>
  <cp:revision/>
  <dcterms:created xsi:type="dcterms:W3CDTF">2022-04-04T15:16:57Z</dcterms:created>
  <dcterms:modified xsi:type="dcterms:W3CDTF">2022-06-20T17:50:28Z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